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6.xml" ContentType="application/vnd.openxmlformats-officedocument.drawing+xml"/>
  <Override PartName="/xl/drawings/drawing15.xml" ContentType="application/vnd.openxmlformats-officedocument.drawing+xml"/>
  <Override PartName="/xl/drawings/drawing14.xml" ContentType="application/vnd.openxmlformats-officedocument.drawing+xml"/>
  <Override PartName="/xl/drawings/drawing13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2.xml" ContentType="application/vnd.openxmlformats-officedocument.drawing+xml"/>
  <Override PartName="/xl/drawings/drawing11.xml" ContentType="application/vnd.openxmlformats-officedocument.drawing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10.xml" ContentType="application/vnd.openxmlformats-officedocument.drawing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2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23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xl/drawings/drawing2.xml" ContentType="application/vnd.openxmlformats-officedocument.drawing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drawings/drawing1.xml" ContentType="application/vnd.openxmlformats-officedocument.drawing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9.xml" ContentType="application/vnd.openxmlformats-officedocument.spreadsheetml.externalLink+xml"/>
  <Override PartName="/xl/comments1.xml" ContentType="application/vnd.openxmlformats-officedocument.spreadsheetml.comments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8-Exploitation\01-Caractérisations\OM\Campagne SYCTOM 2011-2015 VERDICITE\22. données transmises projet romainville\Caractérisations sources par BV\"/>
    </mc:Choice>
  </mc:AlternateContent>
  <bookViews>
    <workbookView xWindow="240" yWindow="195" windowWidth="12120" windowHeight="12210" tabRatio="924" firstSheet="1" activeTab="12"/>
  </bookViews>
  <sheets>
    <sheet name="ISS P15 PB BAN" sheetId="1" r:id="rId1"/>
    <sheet name="ISS P15 PB PAR" sheetId="2" r:id="rId2"/>
    <sheet name="IVR P15 PB BAN" sheetId="3" r:id="rId3"/>
    <sheet name="IVR P15 PB PAR" sheetId="4" r:id="rId4"/>
    <sheet name="ROM P15 PB BAN" sheetId="5" r:id="rId5"/>
    <sheet name="ROM P15 PB PAR" sheetId="6" r:id="rId6"/>
    <sheet name="STO HP5 PB BAN" sheetId="7" r:id="rId7"/>
    <sheet name="STO P15 PB PAR " sheetId="8" r:id="rId8"/>
    <sheet name="Synthèse PB" sheetId="9" r:id="rId9"/>
    <sheet name="ISS P15 PC BAN" sheetId="17" r:id="rId10"/>
    <sheet name="ISS P15 PC PAR" sheetId="16" r:id="rId11"/>
    <sheet name="IVR P15 PC BAN" sheetId="21" r:id="rId12"/>
    <sheet name="IVR P15 PC PAR" sheetId="20" r:id="rId13"/>
    <sheet name="ROM P15 PC BAN " sheetId="19" r:id="rId14"/>
    <sheet name="ROM P15 PC PAR" sheetId="23" r:id="rId15"/>
    <sheet name="STO P15 PC BAN" sheetId="22" r:id="rId16"/>
    <sheet name="STO P15 PC PAR" sheetId="18" r:id="rId17"/>
    <sheet name="Synthèse PC" sheetId="15" r:id="rId18"/>
    <sheet name="SYCTOM Déchets ini. recons." sheetId="24" r:id="rId19"/>
    <sheet name=" SYCTOM Déchets Orga" sheetId="25" r:id="rId20"/>
    <sheet name=" SYCTOM Catégories" sheetId="26" r:id="rId21"/>
    <sheet name=" SYCTOM CSR (2)" sheetId="27" r:id="rId22"/>
    <sheet name="PCI PB et PC" sheetId="28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xlnm.Print_Titles" localSheetId="20">' SYCTOM Catégories'!$A:$C,' SYCTOM Catégories'!$3:$4</definedName>
    <definedName name="_xlnm.Print_Titles" localSheetId="19">' SYCTOM Déchets Orga'!$A:$C,' SYCTOM Déchets Orga'!$3:$4</definedName>
    <definedName name="_xlnm.Print_Titles" localSheetId="18">'SYCTOM Déchets ini. recons.'!$A:$C</definedName>
    <definedName name="_xlnm.Print_Area" localSheetId="20">' SYCTOM Catégories'!$A$1:$R$27</definedName>
    <definedName name="_xlnm.Print_Area" localSheetId="21">' SYCTOM CSR (2)'!$B$1:$H$12</definedName>
    <definedName name="_xlnm.Print_Area" localSheetId="19">' SYCTOM Déchets Orga'!$A$1:$K$33</definedName>
    <definedName name="_xlnm.Print_Area" localSheetId="0">'ISS P15 PB BAN'!$A$1:$J$59</definedName>
    <definedName name="_xlnm.Print_Area" localSheetId="1">'ISS P15 PB PAR'!$A$1:$J$59</definedName>
    <definedName name="_xlnm.Print_Area" localSheetId="2">'IVR P15 PB BAN'!$A$1:$J$59</definedName>
    <definedName name="_xlnm.Print_Area" localSheetId="3">'IVR P15 PB PAR'!$A$1:$J$59</definedName>
    <definedName name="_xlnm.Print_Area" localSheetId="4">'ROM P15 PB BAN'!$A$1:$J$59</definedName>
    <definedName name="_xlnm.Print_Area" localSheetId="5">'ROM P15 PB PAR'!$A$1:$J$59</definedName>
    <definedName name="_xlnm.Print_Area" localSheetId="6">'STO HP5 PB BAN'!$A$1:$J$59</definedName>
    <definedName name="_xlnm.Print_Area" localSheetId="7">'STO P15 PB PAR '!$A$1:$J$59</definedName>
    <definedName name="_xlnm.Print_Area" localSheetId="18">'SYCTOM Déchets ini. recons.'!$A$1:$K$31</definedName>
    <definedName name="_xlnm.Print_Area" localSheetId="8">'Synthèse PB'!$B$89:$M$103</definedName>
  </definedNames>
  <calcPr calcId="162913"/>
</workbook>
</file>

<file path=xl/calcChain.xml><?xml version="1.0" encoding="utf-8"?>
<calcChain xmlns="http://schemas.openxmlformats.org/spreadsheetml/2006/main">
  <c r="AE14" i="28" l="1"/>
  <c r="AF14" i="28" s="1"/>
  <c r="AE13" i="28"/>
  <c r="AG13" i="28" s="1"/>
  <c r="AE12" i="28"/>
  <c r="AG12" i="28" s="1"/>
  <c r="P12" i="28"/>
  <c r="O12" i="28"/>
  <c r="AE11" i="28"/>
  <c r="AG11" i="28" s="1"/>
  <c r="P11" i="28"/>
  <c r="O11" i="28"/>
  <c r="AE10" i="28"/>
  <c r="AF10" i="28" s="1"/>
  <c r="P10" i="28"/>
  <c r="O10" i="28"/>
  <c r="AE9" i="28"/>
  <c r="AF9" i="28" s="1"/>
  <c r="P9" i="28"/>
  <c r="O9" i="28"/>
  <c r="AF8" i="28"/>
  <c r="AE8" i="28"/>
  <c r="AG8" i="28" s="1"/>
  <c r="P8" i="28"/>
  <c r="O8" i="28"/>
  <c r="AE7" i="28"/>
  <c r="AG7" i="28" s="1"/>
  <c r="AE6" i="28"/>
  <c r="AF6" i="28" s="1"/>
  <c r="P6" i="28"/>
  <c r="O6" i="28"/>
  <c r="AE5" i="28"/>
  <c r="P5" i="28"/>
  <c r="O5" i="28"/>
  <c r="R2" i="28"/>
  <c r="B31" i="27"/>
  <c r="B30" i="27"/>
  <c r="B29" i="27"/>
  <c r="B28" i="27"/>
  <c r="B27" i="27"/>
  <c r="B26" i="27"/>
  <c r="B25" i="27"/>
  <c r="B24" i="27"/>
  <c r="B15" i="27"/>
  <c r="B21" i="27" s="1"/>
  <c r="BQ27" i="26"/>
  <c r="BP27" i="26"/>
  <c r="BO27" i="26"/>
  <c r="BN27" i="26"/>
  <c r="BM27" i="26"/>
  <c r="BL27" i="26"/>
  <c r="BK27" i="26"/>
  <c r="BJ27" i="26"/>
  <c r="BI27" i="26"/>
  <c r="BH27" i="26"/>
  <c r="BG27" i="26"/>
  <c r="BF27" i="26"/>
  <c r="BE27" i="26"/>
  <c r="BD27" i="26"/>
  <c r="BC27" i="26"/>
  <c r="AZ27" i="26"/>
  <c r="AY27" i="26"/>
  <c r="AX27" i="26"/>
  <c r="AW27" i="26"/>
  <c r="AV27" i="26"/>
  <c r="AU27" i="26"/>
  <c r="AT27" i="26"/>
  <c r="AS27" i="26"/>
  <c r="AR27" i="26"/>
  <c r="AQ27" i="26"/>
  <c r="AP27" i="26"/>
  <c r="AO27" i="26"/>
  <c r="AN27" i="26"/>
  <c r="AM27" i="26"/>
  <c r="AL27" i="26"/>
  <c r="BQ26" i="26"/>
  <c r="BP26" i="26"/>
  <c r="BO26" i="26"/>
  <c r="BN26" i="26"/>
  <c r="BM26" i="26"/>
  <c r="BL26" i="26"/>
  <c r="BK26" i="26"/>
  <c r="BJ26" i="26"/>
  <c r="BI26" i="26"/>
  <c r="BH26" i="26"/>
  <c r="BG26" i="26"/>
  <c r="BF26" i="26"/>
  <c r="BE26" i="26"/>
  <c r="BD26" i="26"/>
  <c r="BC26" i="26"/>
  <c r="AZ26" i="26"/>
  <c r="AY26" i="26"/>
  <c r="AX26" i="26"/>
  <c r="AW26" i="26"/>
  <c r="AV26" i="26"/>
  <c r="AU26" i="26"/>
  <c r="AT26" i="26"/>
  <c r="AS26" i="26"/>
  <c r="AR26" i="26"/>
  <c r="AQ26" i="26"/>
  <c r="AP26" i="26"/>
  <c r="AO26" i="26"/>
  <c r="AN26" i="26"/>
  <c r="AM26" i="26"/>
  <c r="AL26" i="26"/>
  <c r="BQ24" i="26"/>
  <c r="BP24" i="26"/>
  <c r="BO24" i="26"/>
  <c r="BN24" i="26"/>
  <c r="BM24" i="26"/>
  <c r="BL24" i="26"/>
  <c r="BK24" i="26"/>
  <c r="BJ24" i="26"/>
  <c r="BI24" i="26"/>
  <c r="BH24" i="26"/>
  <c r="BG24" i="26"/>
  <c r="BF24" i="26"/>
  <c r="BE24" i="26"/>
  <c r="BD24" i="26"/>
  <c r="BC24" i="26"/>
  <c r="AZ24" i="26"/>
  <c r="AY24" i="26"/>
  <c r="AX24" i="26"/>
  <c r="AW24" i="26"/>
  <c r="AV24" i="26"/>
  <c r="AU24" i="26"/>
  <c r="AT24" i="26"/>
  <c r="AS24" i="26"/>
  <c r="AR24" i="26"/>
  <c r="AQ24" i="26"/>
  <c r="AP24" i="26"/>
  <c r="AO24" i="26"/>
  <c r="AN24" i="26"/>
  <c r="AM24" i="26"/>
  <c r="AL24" i="26"/>
  <c r="BQ23" i="26"/>
  <c r="BP23" i="26"/>
  <c r="BO23" i="26"/>
  <c r="BN23" i="26"/>
  <c r="BM23" i="26"/>
  <c r="BL23" i="26"/>
  <c r="BK23" i="26"/>
  <c r="BJ23" i="26"/>
  <c r="BI23" i="26"/>
  <c r="BH23" i="26"/>
  <c r="BG23" i="26"/>
  <c r="BF23" i="26"/>
  <c r="BE23" i="26"/>
  <c r="BD23" i="26"/>
  <c r="BC23" i="26"/>
  <c r="AZ23" i="26"/>
  <c r="AY23" i="26"/>
  <c r="AX23" i="26"/>
  <c r="AW23" i="26"/>
  <c r="AV23" i="26"/>
  <c r="AU23" i="26"/>
  <c r="AT23" i="26"/>
  <c r="AS23" i="26"/>
  <c r="AR23" i="26"/>
  <c r="AQ23" i="26"/>
  <c r="AP23" i="26"/>
  <c r="AO23" i="26"/>
  <c r="AN23" i="26"/>
  <c r="AM23" i="26"/>
  <c r="AL23" i="26"/>
  <c r="BQ22" i="26"/>
  <c r="BP22" i="26"/>
  <c r="BO22" i="26"/>
  <c r="BN22" i="26"/>
  <c r="BM22" i="26"/>
  <c r="BL22" i="26"/>
  <c r="BK22" i="26"/>
  <c r="BJ22" i="26"/>
  <c r="BI22" i="26"/>
  <c r="BH22" i="26"/>
  <c r="BG22" i="26"/>
  <c r="BF22" i="26"/>
  <c r="BE22" i="26"/>
  <c r="BD22" i="26"/>
  <c r="BC22" i="26"/>
  <c r="AZ22" i="26"/>
  <c r="AY22" i="26"/>
  <c r="AX22" i="26"/>
  <c r="AW22" i="26"/>
  <c r="AV22" i="26"/>
  <c r="AU22" i="26"/>
  <c r="AT22" i="26"/>
  <c r="AS22" i="26"/>
  <c r="AR22" i="26"/>
  <c r="AQ22" i="26"/>
  <c r="AP22" i="26"/>
  <c r="AO22" i="26"/>
  <c r="AN22" i="26"/>
  <c r="AM22" i="26"/>
  <c r="AL22" i="26"/>
  <c r="BQ21" i="26"/>
  <c r="BP21" i="26"/>
  <c r="BN21" i="26"/>
  <c r="BH21" i="26"/>
  <c r="BF21" i="26"/>
  <c r="BE21" i="26"/>
  <c r="BC21" i="26"/>
  <c r="AZ21" i="26"/>
  <c r="AY21" i="26"/>
  <c r="AX21" i="26"/>
  <c r="AW21" i="26"/>
  <c r="AQ21" i="26"/>
  <c r="AO21" i="26"/>
  <c r="AN21" i="26"/>
  <c r="AL21" i="26"/>
  <c r="BQ20" i="26"/>
  <c r="BP20" i="26"/>
  <c r="BO20" i="26"/>
  <c r="BN20" i="26"/>
  <c r="BM20" i="26"/>
  <c r="BL20" i="26"/>
  <c r="BK20" i="26"/>
  <c r="BJ20" i="26"/>
  <c r="BI20" i="26"/>
  <c r="BH20" i="26"/>
  <c r="BG20" i="26"/>
  <c r="BF20" i="26"/>
  <c r="BE20" i="26"/>
  <c r="BD20" i="26"/>
  <c r="BC20" i="26"/>
  <c r="AZ20" i="26"/>
  <c r="AY20" i="26"/>
  <c r="AX20" i="26"/>
  <c r="AW20" i="26"/>
  <c r="AV20" i="26"/>
  <c r="AU20" i="26"/>
  <c r="AT20" i="26"/>
  <c r="AS20" i="26"/>
  <c r="AR20" i="26"/>
  <c r="AQ20" i="26"/>
  <c r="AP20" i="26"/>
  <c r="AO20" i="26"/>
  <c r="AN20" i="26"/>
  <c r="AM20" i="26"/>
  <c r="AL20" i="26"/>
  <c r="BQ19" i="26"/>
  <c r="BP19" i="26"/>
  <c r="BO19" i="26"/>
  <c r="BN19" i="26"/>
  <c r="BM19" i="26"/>
  <c r="BL19" i="26"/>
  <c r="BK19" i="26"/>
  <c r="BJ19" i="26"/>
  <c r="BI19" i="26"/>
  <c r="BH19" i="26"/>
  <c r="BG19" i="26"/>
  <c r="BF19" i="26"/>
  <c r="BE19" i="26"/>
  <c r="BD19" i="26"/>
  <c r="BC19" i="26"/>
  <c r="AZ19" i="26"/>
  <c r="AY19" i="26"/>
  <c r="AX19" i="26"/>
  <c r="AW19" i="26"/>
  <c r="AV19" i="26"/>
  <c r="AU19" i="26"/>
  <c r="AT19" i="26"/>
  <c r="AS19" i="26"/>
  <c r="AR19" i="26"/>
  <c r="AQ19" i="26"/>
  <c r="AP19" i="26"/>
  <c r="AO19" i="26"/>
  <c r="AN19" i="26"/>
  <c r="AM19" i="26"/>
  <c r="AL19" i="26"/>
  <c r="BQ18" i="26"/>
  <c r="BP18" i="26"/>
  <c r="BO18" i="26"/>
  <c r="BN18" i="26"/>
  <c r="BM18" i="26"/>
  <c r="BL18" i="26"/>
  <c r="BK18" i="26"/>
  <c r="BJ18" i="26"/>
  <c r="BI18" i="26"/>
  <c r="BH18" i="26"/>
  <c r="BG18" i="26"/>
  <c r="BF18" i="26"/>
  <c r="BE18" i="26"/>
  <c r="BD18" i="26"/>
  <c r="BC18" i="26"/>
  <c r="AZ18" i="26"/>
  <c r="AY18" i="26"/>
  <c r="AX18" i="26"/>
  <c r="AW18" i="26"/>
  <c r="AV18" i="26"/>
  <c r="AU18" i="26"/>
  <c r="AT18" i="26"/>
  <c r="AS18" i="26"/>
  <c r="AR18" i="26"/>
  <c r="AQ18" i="26"/>
  <c r="AP18" i="26"/>
  <c r="AO18" i="26"/>
  <c r="AN18" i="26"/>
  <c r="AM18" i="26"/>
  <c r="AL18" i="26"/>
  <c r="BQ17" i="26"/>
  <c r="BP17" i="26"/>
  <c r="BO17" i="26"/>
  <c r="BN17" i="26"/>
  <c r="BM17" i="26"/>
  <c r="BL17" i="26"/>
  <c r="BK17" i="26"/>
  <c r="BJ17" i="26"/>
  <c r="BI17" i="26"/>
  <c r="BH17" i="26"/>
  <c r="BG17" i="26"/>
  <c r="BF17" i="26"/>
  <c r="BE17" i="26"/>
  <c r="BD17" i="26"/>
  <c r="BC17" i="26"/>
  <c r="AZ17" i="26"/>
  <c r="AY17" i="26"/>
  <c r="AX17" i="26"/>
  <c r="AW17" i="26"/>
  <c r="AV17" i="26"/>
  <c r="AU17" i="26"/>
  <c r="AT17" i="26"/>
  <c r="AS17" i="26"/>
  <c r="AR17" i="26"/>
  <c r="AQ17" i="26"/>
  <c r="AP17" i="26"/>
  <c r="AO17" i="26"/>
  <c r="AN17" i="26"/>
  <c r="AM17" i="26"/>
  <c r="AL17" i="26"/>
  <c r="BQ16" i="26"/>
  <c r="BP16" i="26"/>
  <c r="BO16" i="26"/>
  <c r="BN16" i="26"/>
  <c r="BM16" i="26"/>
  <c r="BL16" i="26"/>
  <c r="BK16" i="26"/>
  <c r="BJ16" i="26"/>
  <c r="BI16" i="26"/>
  <c r="BH16" i="26"/>
  <c r="BG16" i="26"/>
  <c r="BF16" i="26"/>
  <c r="BE16" i="26"/>
  <c r="BD16" i="26"/>
  <c r="BC16" i="26"/>
  <c r="AZ16" i="26"/>
  <c r="AY16" i="26"/>
  <c r="AX16" i="26"/>
  <c r="AW16" i="26"/>
  <c r="AV16" i="26"/>
  <c r="AU16" i="26"/>
  <c r="AT16" i="26"/>
  <c r="AS16" i="26"/>
  <c r="AR16" i="26"/>
  <c r="AQ16" i="26"/>
  <c r="AP16" i="26"/>
  <c r="AO16" i="26"/>
  <c r="AN16" i="26"/>
  <c r="AM16" i="26"/>
  <c r="AL16" i="26"/>
  <c r="BQ14" i="26"/>
  <c r="BP14" i="26"/>
  <c r="BO14" i="26"/>
  <c r="BN14" i="26"/>
  <c r="BM14" i="26"/>
  <c r="BL14" i="26"/>
  <c r="BK14" i="26"/>
  <c r="BJ14" i="26"/>
  <c r="BI14" i="26"/>
  <c r="BH14" i="26"/>
  <c r="BG14" i="26"/>
  <c r="BF14" i="26"/>
  <c r="BE14" i="26"/>
  <c r="BD14" i="26"/>
  <c r="BC14" i="26"/>
  <c r="AZ14" i="26"/>
  <c r="AY14" i="26"/>
  <c r="AX14" i="26"/>
  <c r="AW14" i="26"/>
  <c r="AV14" i="26"/>
  <c r="AU14" i="26"/>
  <c r="AT14" i="26"/>
  <c r="AS14" i="26"/>
  <c r="AR14" i="26"/>
  <c r="AQ14" i="26"/>
  <c r="AP14" i="26"/>
  <c r="AO14" i="26"/>
  <c r="AN14" i="26"/>
  <c r="AM14" i="26"/>
  <c r="AL14" i="26"/>
  <c r="BQ13" i="26"/>
  <c r="BP13" i="26"/>
  <c r="BO13" i="26"/>
  <c r="BN13" i="26"/>
  <c r="BM13" i="26"/>
  <c r="BL13" i="26"/>
  <c r="BK13" i="26"/>
  <c r="BJ13" i="26"/>
  <c r="BI13" i="26"/>
  <c r="BH13" i="26"/>
  <c r="BG13" i="26"/>
  <c r="BF13" i="26"/>
  <c r="BE13" i="26"/>
  <c r="BD13" i="26"/>
  <c r="BC13" i="26"/>
  <c r="AZ13" i="26"/>
  <c r="AY13" i="26"/>
  <c r="AX13" i="26"/>
  <c r="AW13" i="26"/>
  <c r="AV13" i="26"/>
  <c r="AU13" i="26"/>
  <c r="AT13" i="26"/>
  <c r="AS13" i="26"/>
  <c r="AR13" i="26"/>
  <c r="AQ13" i="26"/>
  <c r="AP13" i="26"/>
  <c r="AO13" i="26"/>
  <c r="AN13" i="26"/>
  <c r="AM13" i="26"/>
  <c r="AL13" i="26"/>
  <c r="BQ12" i="26"/>
  <c r="BP12" i="26"/>
  <c r="BO12" i="26"/>
  <c r="BN12" i="26"/>
  <c r="BM12" i="26"/>
  <c r="BL12" i="26"/>
  <c r="BK12" i="26"/>
  <c r="BJ12" i="26"/>
  <c r="BI12" i="26"/>
  <c r="BH12" i="26"/>
  <c r="BG12" i="26"/>
  <c r="BF12" i="26"/>
  <c r="BE12" i="26"/>
  <c r="BD12" i="26"/>
  <c r="BC12" i="26"/>
  <c r="AZ12" i="26"/>
  <c r="AY12" i="26"/>
  <c r="AX12" i="26"/>
  <c r="AW12" i="26"/>
  <c r="AV12" i="26"/>
  <c r="AU12" i="26"/>
  <c r="AT12" i="26"/>
  <c r="AS12" i="26"/>
  <c r="AR12" i="26"/>
  <c r="AQ12" i="26"/>
  <c r="AP12" i="26"/>
  <c r="AO12" i="26"/>
  <c r="AN12" i="26"/>
  <c r="AM12" i="26"/>
  <c r="AL12" i="26"/>
  <c r="BQ11" i="26"/>
  <c r="BP11" i="26"/>
  <c r="BO11" i="26"/>
  <c r="BN11" i="26"/>
  <c r="BM11" i="26"/>
  <c r="BL11" i="26"/>
  <c r="BK11" i="26"/>
  <c r="BJ11" i="26"/>
  <c r="BI11" i="26"/>
  <c r="BH11" i="26"/>
  <c r="BG11" i="26"/>
  <c r="BF11" i="26"/>
  <c r="BE11" i="26"/>
  <c r="BD11" i="26"/>
  <c r="BC11" i="26"/>
  <c r="AZ11" i="26"/>
  <c r="AY11" i="26"/>
  <c r="AX11" i="26"/>
  <c r="AW11" i="26"/>
  <c r="AV11" i="26"/>
  <c r="AU11" i="26"/>
  <c r="AT11" i="26"/>
  <c r="AR11" i="26"/>
  <c r="AQ11" i="26"/>
  <c r="AP11" i="26"/>
  <c r="AO11" i="26"/>
  <c r="AN11" i="26"/>
  <c r="AM11" i="26"/>
  <c r="AL11" i="26"/>
  <c r="BQ10" i="26"/>
  <c r="BP10" i="26"/>
  <c r="BO10" i="26"/>
  <c r="BN10" i="26"/>
  <c r="BM10" i="26"/>
  <c r="BL10" i="26"/>
  <c r="BK10" i="26"/>
  <c r="BJ10" i="26"/>
  <c r="BI10" i="26"/>
  <c r="BH10" i="26"/>
  <c r="BG10" i="26"/>
  <c r="BF10" i="26"/>
  <c r="BE10" i="26"/>
  <c r="BD10" i="26"/>
  <c r="BC10" i="26"/>
  <c r="AZ10" i="26"/>
  <c r="AY10" i="26"/>
  <c r="AX10" i="26"/>
  <c r="AW10" i="26"/>
  <c r="AV10" i="26"/>
  <c r="AU10" i="26"/>
  <c r="AT10" i="26"/>
  <c r="AR10" i="26"/>
  <c r="AQ10" i="26"/>
  <c r="AP10" i="26"/>
  <c r="AO10" i="26"/>
  <c r="AN10" i="26"/>
  <c r="AM10" i="26"/>
  <c r="AL10" i="26"/>
  <c r="BQ9" i="26"/>
  <c r="BP9" i="26"/>
  <c r="BO9" i="26"/>
  <c r="BN9" i="26"/>
  <c r="BM9" i="26"/>
  <c r="BL9" i="26"/>
  <c r="BK9" i="26"/>
  <c r="BJ9" i="26"/>
  <c r="BI9" i="26"/>
  <c r="BH9" i="26"/>
  <c r="BG9" i="26"/>
  <c r="BF9" i="26"/>
  <c r="BE9" i="26"/>
  <c r="BD9" i="26"/>
  <c r="BC9" i="26"/>
  <c r="AZ9" i="26"/>
  <c r="AY9" i="26"/>
  <c r="AX9" i="26"/>
  <c r="AW9" i="26"/>
  <c r="AV9" i="26"/>
  <c r="AU9" i="26"/>
  <c r="AT9" i="26"/>
  <c r="AR9" i="26"/>
  <c r="AQ9" i="26"/>
  <c r="AP9" i="26"/>
  <c r="AO9" i="26"/>
  <c r="AN9" i="26"/>
  <c r="AM9" i="26"/>
  <c r="AL9" i="26"/>
  <c r="BQ5" i="26"/>
  <c r="BP5" i="26"/>
  <c r="BO5" i="26"/>
  <c r="BN5" i="26"/>
  <c r="BM5" i="26"/>
  <c r="BL5" i="26"/>
  <c r="BK5" i="26"/>
  <c r="BJ5" i="26"/>
  <c r="BI5" i="26"/>
  <c r="BH5" i="26"/>
  <c r="BG5" i="26"/>
  <c r="BF5" i="26"/>
  <c r="BE5" i="26"/>
  <c r="BD5" i="26"/>
  <c r="BC5" i="26"/>
  <c r="AZ5" i="26"/>
  <c r="AY5" i="26"/>
  <c r="AX5" i="26"/>
  <c r="AW5" i="26"/>
  <c r="AV5" i="26"/>
  <c r="AU5" i="26"/>
  <c r="AT5" i="26"/>
  <c r="AR5" i="26"/>
  <c r="AQ5" i="26"/>
  <c r="AP5" i="26"/>
  <c r="AO5" i="26"/>
  <c r="AN5" i="26"/>
  <c r="AM5" i="26"/>
  <c r="AL5" i="26"/>
  <c r="AI4" i="26"/>
  <c r="AZ4" i="26" s="1"/>
  <c r="BQ4" i="26" s="1"/>
  <c r="AH4" i="26"/>
  <c r="AY4" i="26" s="1"/>
  <c r="BP4" i="26" s="1"/>
  <c r="AG4" i="26"/>
  <c r="AX4" i="26" s="1"/>
  <c r="BO4" i="26" s="1"/>
  <c r="AF4" i="26"/>
  <c r="AW4" i="26" s="1"/>
  <c r="BN4" i="26" s="1"/>
  <c r="AE4" i="26"/>
  <c r="AV4" i="26" s="1"/>
  <c r="BM4" i="26" s="1"/>
  <c r="AD4" i="26"/>
  <c r="AU4" i="26" s="1"/>
  <c r="BL4" i="26" s="1"/>
  <c r="AC4" i="26"/>
  <c r="AT4" i="26" s="1"/>
  <c r="BK4" i="26" s="1"/>
  <c r="AB4" i="26"/>
  <c r="AS4" i="26" s="1"/>
  <c r="BJ4" i="26" s="1"/>
  <c r="AA4" i="26"/>
  <c r="AR4" i="26" s="1"/>
  <c r="BI4" i="26" s="1"/>
  <c r="Z4" i="26"/>
  <c r="AQ4" i="26" s="1"/>
  <c r="BH4" i="26" s="1"/>
  <c r="Y4" i="26"/>
  <c r="AP4" i="26" s="1"/>
  <c r="BG4" i="26" s="1"/>
  <c r="X4" i="26"/>
  <c r="AO4" i="26" s="1"/>
  <c r="BF4" i="26" s="1"/>
  <c r="W4" i="26"/>
  <c r="AN4" i="26" s="1"/>
  <c r="BE4" i="26" s="1"/>
  <c r="V4" i="26"/>
  <c r="AM4" i="26" s="1"/>
  <c r="BD4" i="26" s="1"/>
  <c r="U4" i="26"/>
  <c r="AL4" i="26" s="1"/>
  <c r="BC4" i="26" s="1"/>
  <c r="P2" i="26"/>
  <c r="L2" i="26"/>
  <c r="H2" i="26"/>
  <c r="E37" i="25"/>
  <c r="D37" i="25"/>
  <c r="E36" i="25"/>
  <c r="D36" i="25"/>
  <c r="E33" i="25"/>
  <c r="D33" i="25"/>
  <c r="E15" i="25"/>
  <c r="D15" i="25"/>
  <c r="E14" i="25"/>
  <c r="D14" i="25"/>
  <c r="D2" i="25"/>
  <c r="H2" i="25" s="1"/>
  <c r="V31" i="24"/>
  <c r="U31" i="24"/>
  <c r="V30" i="24"/>
  <c r="U30" i="24"/>
  <c r="V29" i="24"/>
  <c r="U29" i="24"/>
  <c r="V28" i="24"/>
  <c r="U28" i="24"/>
  <c r="T27" i="24"/>
  <c r="U27" i="24" s="1"/>
  <c r="V25" i="24"/>
  <c r="U25" i="24"/>
  <c r="V24" i="24"/>
  <c r="U24" i="24"/>
  <c r="V23" i="24"/>
  <c r="U23" i="24"/>
  <c r="V22" i="24"/>
  <c r="U22" i="24"/>
  <c r="V21" i="24"/>
  <c r="U21" i="24"/>
  <c r="V20" i="24"/>
  <c r="U20" i="24"/>
  <c r="V19" i="24"/>
  <c r="U19" i="24"/>
  <c r="V18" i="24"/>
  <c r="U18" i="24"/>
  <c r="V17" i="24"/>
  <c r="U17" i="24"/>
  <c r="V16" i="24"/>
  <c r="U16" i="24"/>
  <c r="V14" i="24"/>
  <c r="U14" i="24"/>
  <c r="V13" i="24"/>
  <c r="U13" i="24"/>
  <c r="V12" i="24"/>
  <c r="U12" i="24"/>
  <c r="T11" i="24"/>
  <c r="V11" i="24" s="1"/>
  <c r="T10" i="24"/>
  <c r="U10" i="24" s="1"/>
  <c r="V9" i="24"/>
  <c r="T9" i="24"/>
  <c r="U9" i="24" s="1"/>
  <c r="D2" i="24" l="1"/>
  <c r="H2" i="24" s="1"/>
  <c r="AG9" i="28"/>
  <c r="AF12" i="28"/>
  <c r="AG6" i="28"/>
  <c r="U11" i="24"/>
  <c r="AF7" i="28"/>
  <c r="AG10" i="28"/>
  <c r="AF11" i="28"/>
  <c r="AF13" i="28"/>
  <c r="AG14" i="28"/>
  <c r="V10" i="24"/>
  <c r="V27" i="24"/>
  <c r="E20" i="18" l="1"/>
  <c r="D20" i="18"/>
  <c r="C20" i="18"/>
  <c r="B20" i="18"/>
  <c r="B21" i="18" s="1"/>
  <c r="E19" i="18"/>
  <c r="D19" i="18"/>
  <c r="C19" i="18"/>
  <c r="F19" i="18" s="1"/>
  <c r="E18" i="18"/>
  <c r="E21" i="18" s="1"/>
  <c r="D18" i="18"/>
  <c r="D21" i="18" s="1"/>
  <c r="C18" i="18"/>
  <c r="C21" i="18" s="1"/>
  <c r="G12" i="18"/>
  <c r="G10" i="18"/>
  <c r="B10" i="18"/>
  <c r="G9" i="18"/>
  <c r="G11" i="18" s="1"/>
  <c r="B9" i="18"/>
  <c r="C5" i="18"/>
  <c r="C4" i="18"/>
  <c r="B3" i="18"/>
  <c r="B2" i="18"/>
  <c r="E20" i="22"/>
  <c r="D20" i="22"/>
  <c r="C20" i="22"/>
  <c r="B20" i="22"/>
  <c r="B21" i="22" s="1"/>
  <c r="E19" i="22"/>
  <c r="D19" i="22"/>
  <c r="C19" i="22"/>
  <c r="E18" i="22"/>
  <c r="D18" i="22"/>
  <c r="D21" i="22" s="1"/>
  <c r="C18" i="22"/>
  <c r="F18" i="22" s="1"/>
  <c r="G12" i="22"/>
  <c r="G10" i="22"/>
  <c r="B10" i="22"/>
  <c r="G9" i="22"/>
  <c r="G11" i="22" s="1"/>
  <c r="B9" i="22"/>
  <c r="C5" i="22"/>
  <c r="C4" i="22"/>
  <c r="B3" i="22"/>
  <c r="B2" i="22"/>
  <c r="E20" i="23"/>
  <c r="D20" i="23"/>
  <c r="C20" i="23"/>
  <c r="B20" i="23"/>
  <c r="F20" i="23" s="1"/>
  <c r="E19" i="23"/>
  <c r="D19" i="23"/>
  <c r="C19" i="23"/>
  <c r="E18" i="23"/>
  <c r="E21" i="23" s="1"/>
  <c r="D18" i="23"/>
  <c r="C18" i="23"/>
  <c r="F18" i="23" s="1"/>
  <c r="G12" i="23"/>
  <c r="G10" i="23"/>
  <c r="B10" i="23"/>
  <c r="G9" i="23"/>
  <c r="G11" i="23" s="1"/>
  <c r="B9" i="23"/>
  <c r="C5" i="23"/>
  <c r="C4" i="23"/>
  <c r="B3" i="23"/>
  <c r="B2" i="23"/>
  <c r="E20" i="19"/>
  <c r="D20" i="19"/>
  <c r="C20" i="19"/>
  <c r="B20" i="19"/>
  <c r="E19" i="19"/>
  <c r="D19" i="19"/>
  <c r="C19" i="19"/>
  <c r="E18" i="19"/>
  <c r="D18" i="19"/>
  <c r="C18" i="19"/>
  <c r="G12" i="19"/>
  <c r="G10" i="19"/>
  <c r="B10" i="19"/>
  <c r="G9" i="19"/>
  <c r="B9" i="19"/>
  <c r="C5" i="19"/>
  <c r="C4" i="19"/>
  <c r="B3" i="19"/>
  <c r="B2" i="19"/>
  <c r="E20" i="20"/>
  <c r="D20" i="20"/>
  <c r="C20" i="20"/>
  <c r="B20" i="20"/>
  <c r="E19" i="20"/>
  <c r="D19" i="20"/>
  <c r="C19" i="20"/>
  <c r="F19" i="20" s="1"/>
  <c r="E18" i="20"/>
  <c r="D18" i="20"/>
  <c r="D21" i="20" s="1"/>
  <c r="C18" i="20"/>
  <c r="G12" i="20"/>
  <c r="G10" i="20"/>
  <c r="B10" i="20"/>
  <c r="G9" i="20"/>
  <c r="G11" i="20" s="1"/>
  <c r="B9" i="20"/>
  <c r="C5" i="20"/>
  <c r="C4" i="20"/>
  <c r="B3" i="20"/>
  <c r="B2" i="20"/>
  <c r="E20" i="21"/>
  <c r="D20" i="21"/>
  <c r="C20" i="21"/>
  <c r="B20" i="21"/>
  <c r="B21" i="21" s="1"/>
  <c r="E19" i="21"/>
  <c r="D19" i="21"/>
  <c r="C19" i="21"/>
  <c r="E18" i="21"/>
  <c r="E21" i="21" s="1"/>
  <c r="D18" i="21"/>
  <c r="C18" i="21"/>
  <c r="F18" i="21" s="1"/>
  <c r="G12" i="21"/>
  <c r="G11" i="21"/>
  <c r="G10" i="21"/>
  <c r="B10" i="21"/>
  <c r="G9" i="21"/>
  <c r="B9" i="21"/>
  <c r="C5" i="21"/>
  <c r="C4" i="21"/>
  <c r="B3" i="21"/>
  <c r="B2" i="21"/>
  <c r="E20" i="16"/>
  <c r="D20" i="16"/>
  <c r="C20" i="16"/>
  <c r="B20" i="16"/>
  <c r="B21" i="16" s="1"/>
  <c r="E19" i="16"/>
  <c r="D19" i="16"/>
  <c r="C19" i="16"/>
  <c r="E18" i="16"/>
  <c r="E21" i="16" s="1"/>
  <c r="D18" i="16"/>
  <c r="C18" i="16"/>
  <c r="F18" i="16" s="1"/>
  <c r="G12" i="16"/>
  <c r="G11" i="16"/>
  <c r="G10" i="16"/>
  <c r="B10" i="16"/>
  <c r="G9" i="16"/>
  <c r="B9" i="16"/>
  <c r="C5" i="16"/>
  <c r="C4" i="16"/>
  <c r="B3" i="16"/>
  <c r="B2" i="16"/>
  <c r="E20" i="17"/>
  <c r="D20" i="17"/>
  <c r="C20" i="17"/>
  <c r="B20" i="17"/>
  <c r="E19" i="17"/>
  <c r="D19" i="17"/>
  <c r="C19" i="17"/>
  <c r="E18" i="17"/>
  <c r="D18" i="17"/>
  <c r="C18" i="17"/>
  <c r="G12" i="17"/>
  <c r="G10" i="17"/>
  <c r="B10" i="17"/>
  <c r="G9" i="17"/>
  <c r="G11" i="17" s="1"/>
  <c r="B9" i="17"/>
  <c r="C5" i="17"/>
  <c r="C4" i="17"/>
  <c r="B3" i="17"/>
  <c r="B2" i="17"/>
  <c r="J63" i="8"/>
  <c r="H63" i="8" s="1"/>
  <c r="E63" i="8"/>
  <c r="D63" i="8"/>
  <c r="C63" i="8"/>
  <c r="B63" i="8"/>
  <c r="F63" i="8" s="1"/>
  <c r="E62" i="8"/>
  <c r="D62" i="8"/>
  <c r="F62" i="8" s="1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J53" i="8"/>
  <c r="E53" i="8"/>
  <c r="D53" i="8"/>
  <c r="C53" i="8"/>
  <c r="J52" i="8"/>
  <c r="H52" i="8" s="1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J46" i="8"/>
  <c r="E46" i="8"/>
  <c r="D46" i="8"/>
  <c r="C46" i="8"/>
  <c r="E45" i="8"/>
  <c r="D45" i="8"/>
  <c r="C45" i="8"/>
  <c r="J44" i="8"/>
  <c r="E44" i="8"/>
  <c r="D44" i="8"/>
  <c r="C44" i="8"/>
  <c r="J43" i="8"/>
  <c r="H43" i="8" s="1"/>
  <c r="E43" i="8"/>
  <c r="D43" i="8"/>
  <c r="C43" i="8"/>
  <c r="H42" i="8"/>
  <c r="E42" i="8"/>
  <c r="D42" i="8"/>
  <c r="C42" i="8"/>
  <c r="H41" i="8"/>
  <c r="E41" i="8"/>
  <c r="D41" i="8"/>
  <c r="C41" i="8"/>
  <c r="H40" i="8"/>
  <c r="E40" i="8"/>
  <c r="D40" i="8"/>
  <c r="C40" i="8"/>
  <c r="H39" i="8"/>
  <c r="E39" i="8"/>
  <c r="D39" i="8"/>
  <c r="C39" i="8"/>
  <c r="J38" i="8"/>
  <c r="H38" i="8"/>
  <c r="E38" i="8"/>
  <c r="D38" i="8"/>
  <c r="C38" i="8"/>
  <c r="H37" i="8"/>
  <c r="E37" i="8"/>
  <c r="D37" i="8"/>
  <c r="C37" i="8"/>
  <c r="J36" i="8"/>
  <c r="H36" i="8"/>
  <c r="E36" i="8"/>
  <c r="D36" i="8"/>
  <c r="C36" i="8"/>
  <c r="J35" i="8"/>
  <c r="H35" i="8"/>
  <c r="E35" i="8"/>
  <c r="D35" i="8"/>
  <c r="C35" i="8"/>
  <c r="E34" i="8"/>
  <c r="D34" i="8"/>
  <c r="C34" i="8"/>
  <c r="E33" i="8"/>
  <c r="D33" i="8"/>
  <c r="C33" i="8"/>
  <c r="E32" i="8"/>
  <c r="D32" i="8"/>
  <c r="C32" i="8"/>
  <c r="J31" i="8"/>
  <c r="E31" i="8"/>
  <c r="D31" i="8"/>
  <c r="C31" i="8"/>
  <c r="H30" i="8"/>
  <c r="E30" i="8"/>
  <c r="D30" i="8"/>
  <c r="C30" i="8"/>
  <c r="H29" i="8"/>
  <c r="E29" i="8"/>
  <c r="D29" i="8"/>
  <c r="C29" i="8"/>
  <c r="J28" i="8"/>
  <c r="H28" i="8"/>
  <c r="E28" i="8"/>
  <c r="D28" i="8"/>
  <c r="C28" i="8"/>
  <c r="H27" i="8"/>
  <c r="E27" i="8"/>
  <c r="D27" i="8"/>
  <c r="C27" i="8"/>
  <c r="H26" i="8"/>
  <c r="E26" i="8"/>
  <c r="D26" i="8"/>
  <c r="C26" i="8"/>
  <c r="H25" i="8"/>
  <c r="E25" i="8"/>
  <c r="D25" i="8"/>
  <c r="C25" i="8"/>
  <c r="H24" i="8"/>
  <c r="E24" i="8"/>
  <c r="D24" i="8"/>
  <c r="C24" i="8"/>
  <c r="J23" i="8"/>
  <c r="H23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J18" i="8"/>
  <c r="E18" i="8"/>
  <c r="E64" i="8" s="1"/>
  <c r="D18" i="8"/>
  <c r="C18" i="8"/>
  <c r="G12" i="8"/>
  <c r="G10" i="8"/>
  <c r="B10" i="8"/>
  <c r="G9" i="8"/>
  <c r="G11" i="8" s="1"/>
  <c r="B9" i="8"/>
  <c r="C5" i="8"/>
  <c r="C4" i="8"/>
  <c r="B3" i="8"/>
  <c r="B2" i="8"/>
  <c r="J63" i="7"/>
  <c r="H63" i="7" s="1"/>
  <c r="E63" i="7"/>
  <c r="D63" i="7"/>
  <c r="C63" i="7"/>
  <c r="B63" i="7"/>
  <c r="F63" i="7" s="1"/>
  <c r="E62" i="7"/>
  <c r="D62" i="7"/>
  <c r="C62" i="7"/>
  <c r="E61" i="7"/>
  <c r="D61" i="7"/>
  <c r="C61" i="7"/>
  <c r="E60" i="7"/>
  <c r="D60" i="7"/>
  <c r="C60" i="7"/>
  <c r="E59" i="7"/>
  <c r="D59" i="7"/>
  <c r="C59" i="7"/>
  <c r="F59" i="7" s="1"/>
  <c r="E58" i="7"/>
  <c r="D58" i="7"/>
  <c r="C58" i="7"/>
  <c r="E57" i="7"/>
  <c r="D57" i="7"/>
  <c r="C57" i="7"/>
  <c r="F57" i="7" s="1"/>
  <c r="E56" i="7"/>
  <c r="D56" i="7"/>
  <c r="C56" i="7"/>
  <c r="E55" i="7"/>
  <c r="D55" i="7"/>
  <c r="C55" i="7"/>
  <c r="F55" i="7" s="1"/>
  <c r="E54" i="7"/>
  <c r="D54" i="7"/>
  <c r="C54" i="7"/>
  <c r="J53" i="7"/>
  <c r="E53" i="7"/>
  <c r="D53" i="7"/>
  <c r="C53" i="7"/>
  <c r="J52" i="7"/>
  <c r="H52" i="7" s="1"/>
  <c r="E52" i="7"/>
  <c r="D52" i="7"/>
  <c r="C52" i="7"/>
  <c r="E51" i="7"/>
  <c r="D51" i="7"/>
  <c r="C51" i="7"/>
  <c r="E50" i="7"/>
  <c r="D50" i="7"/>
  <c r="C50" i="7"/>
  <c r="E49" i="7"/>
  <c r="D49" i="7"/>
  <c r="C49" i="7"/>
  <c r="E48" i="7"/>
  <c r="D48" i="7"/>
  <c r="C48" i="7"/>
  <c r="E47" i="7"/>
  <c r="D47" i="7"/>
  <c r="C47" i="7"/>
  <c r="J46" i="7"/>
  <c r="E46" i="7"/>
  <c r="D46" i="7"/>
  <c r="C46" i="7"/>
  <c r="E45" i="7"/>
  <c r="D45" i="7"/>
  <c r="C45" i="7"/>
  <c r="J44" i="7"/>
  <c r="E44" i="7"/>
  <c r="D44" i="7"/>
  <c r="C44" i="7"/>
  <c r="J43" i="7"/>
  <c r="H43" i="7" s="1"/>
  <c r="E43" i="7"/>
  <c r="D43" i="7"/>
  <c r="C43" i="7"/>
  <c r="H42" i="7"/>
  <c r="E42" i="7"/>
  <c r="D42" i="7"/>
  <c r="C42" i="7"/>
  <c r="H41" i="7"/>
  <c r="E41" i="7"/>
  <c r="D41" i="7"/>
  <c r="C41" i="7"/>
  <c r="H40" i="7"/>
  <c r="E40" i="7"/>
  <c r="D40" i="7"/>
  <c r="C40" i="7"/>
  <c r="H39" i="7"/>
  <c r="E39" i="7"/>
  <c r="D39" i="7"/>
  <c r="C39" i="7"/>
  <c r="J38" i="7"/>
  <c r="H38" i="7"/>
  <c r="E38" i="7"/>
  <c r="D38" i="7"/>
  <c r="C38" i="7"/>
  <c r="H37" i="7"/>
  <c r="E37" i="7"/>
  <c r="D37" i="7"/>
  <c r="C37" i="7"/>
  <c r="J36" i="7"/>
  <c r="H36" i="7"/>
  <c r="E36" i="7"/>
  <c r="D36" i="7"/>
  <c r="C36" i="7"/>
  <c r="J35" i="7"/>
  <c r="H35" i="7"/>
  <c r="E35" i="7"/>
  <c r="D35" i="7"/>
  <c r="C35" i="7"/>
  <c r="E34" i="7"/>
  <c r="D34" i="7"/>
  <c r="C34" i="7"/>
  <c r="E33" i="7"/>
  <c r="D33" i="7"/>
  <c r="C33" i="7"/>
  <c r="E32" i="7"/>
  <c r="D32" i="7"/>
  <c r="C32" i="7"/>
  <c r="J31" i="7"/>
  <c r="E31" i="7"/>
  <c r="D31" i="7"/>
  <c r="C31" i="7"/>
  <c r="H30" i="7"/>
  <c r="E30" i="7"/>
  <c r="D30" i="7"/>
  <c r="C30" i="7"/>
  <c r="H29" i="7"/>
  <c r="E29" i="7"/>
  <c r="D29" i="7"/>
  <c r="C29" i="7"/>
  <c r="J28" i="7"/>
  <c r="H28" i="7"/>
  <c r="E28" i="7"/>
  <c r="D28" i="7"/>
  <c r="C28" i="7"/>
  <c r="H27" i="7"/>
  <c r="E27" i="7"/>
  <c r="D27" i="7"/>
  <c r="C27" i="7"/>
  <c r="H26" i="7"/>
  <c r="E26" i="7"/>
  <c r="D26" i="7"/>
  <c r="C26" i="7"/>
  <c r="H25" i="7"/>
  <c r="E25" i="7"/>
  <c r="D25" i="7"/>
  <c r="C25" i="7"/>
  <c r="H24" i="7"/>
  <c r="E24" i="7"/>
  <c r="D24" i="7"/>
  <c r="C24" i="7"/>
  <c r="J23" i="7"/>
  <c r="H23" i="7"/>
  <c r="E23" i="7"/>
  <c r="D23" i="7"/>
  <c r="F23" i="7" s="1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J18" i="7"/>
  <c r="J64" i="7" s="1"/>
  <c r="E18" i="7"/>
  <c r="D18" i="7"/>
  <c r="C18" i="7"/>
  <c r="G12" i="7"/>
  <c r="G10" i="7"/>
  <c r="B10" i="7"/>
  <c r="G9" i="7"/>
  <c r="G11" i="7" s="1"/>
  <c r="B9" i="7"/>
  <c r="C5" i="7"/>
  <c r="C4" i="7"/>
  <c r="B3" i="7"/>
  <c r="B2" i="7"/>
  <c r="J63" i="6"/>
  <c r="H63" i="6" s="1"/>
  <c r="E63" i="6"/>
  <c r="D63" i="6"/>
  <c r="C63" i="6"/>
  <c r="B63" i="6"/>
  <c r="E62" i="6"/>
  <c r="D62" i="6"/>
  <c r="C62" i="6"/>
  <c r="E61" i="6"/>
  <c r="D61" i="6"/>
  <c r="C61" i="6"/>
  <c r="E60" i="6"/>
  <c r="D60" i="6"/>
  <c r="C60" i="6"/>
  <c r="E59" i="6"/>
  <c r="D59" i="6"/>
  <c r="C59" i="6"/>
  <c r="E58" i="6"/>
  <c r="D58" i="6"/>
  <c r="C58" i="6"/>
  <c r="E57" i="6"/>
  <c r="D57" i="6"/>
  <c r="C57" i="6"/>
  <c r="E56" i="6"/>
  <c r="D56" i="6"/>
  <c r="C56" i="6"/>
  <c r="E55" i="6"/>
  <c r="D55" i="6"/>
  <c r="C55" i="6"/>
  <c r="E54" i="6"/>
  <c r="D54" i="6"/>
  <c r="C54" i="6"/>
  <c r="J53" i="6"/>
  <c r="E53" i="6"/>
  <c r="D53" i="6"/>
  <c r="C53" i="6"/>
  <c r="J52" i="6"/>
  <c r="H52" i="6" s="1"/>
  <c r="E52" i="6"/>
  <c r="D52" i="6"/>
  <c r="C52" i="6"/>
  <c r="E51" i="6"/>
  <c r="D51" i="6"/>
  <c r="C51" i="6"/>
  <c r="E50" i="6"/>
  <c r="D50" i="6"/>
  <c r="C50" i="6"/>
  <c r="E49" i="6"/>
  <c r="D49" i="6"/>
  <c r="C49" i="6"/>
  <c r="E48" i="6"/>
  <c r="D48" i="6"/>
  <c r="C48" i="6"/>
  <c r="E47" i="6"/>
  <c r="D47" i="6"/>
  <c r="C47" i="6"/>
  <c r="J46" i="6"/>
  <c r="E46" i="6"/>
  <c r="D46" i="6"/>
  <c r="C46" i="6"/>
  <c r="E45" i="6"/>
  <c r="D45" i="6"/>
  <c r="C45" i="6"/>
  <c r="J44" i="6"/>
  <c r="E44" i="6"/>
  <c r="D44" i="6"/>
  <c r="C44" i="6"/>
  <c r="J43" i="6"/>
  <c r="H43" i="6" s="1"/>
  <c r="E43" i="6"/>
  <c r="D43" i="6"/>
  <c r="C43" i="6"/>
  <c r="H42" i="6"/>
  <c r="E42" i="6"/>
  <c r="D42" i="6"/>
  <c r="C42" i="6"/>
  <c r="H41" i="6"/>
  <c r="E41" i="6"/>
  <c r="D41" i="6"/>
  <c r="C41" i="6"/>
  <c r="H40" i="6"/>
  <c r="E40" i="6"/>
  <c r="D40" i="6"/>
  <c r="C40" i="6"/>
  <c r="H39" i="6"/>
  <c r="E39" i="6"/>
  <c r="D39" i="6"/>
  <c r="C39" i="6"/>
  <c r="J38" i="6"/>
  <c r="H38" i="6"/>
  <c r="E38" i="6"/>
  <c r="D38" i="6"/>
  <c r="C38" i="6"/>
  <c r="H37" i="6"/>
  <c r="E37" i="6"/>
  <c r="D37" i="6"/>
  <c r="C37" i="6"/>
  <c r="J36" i="6"/>
  <c r="H36" i="6"/>
  <c r="E36" i="6"/>
  <c r="D36" i="6"/>
  <c r="C36" i="6"/>
  <c r="J35" i="6"/>
  <c r="H35" i="6"/>
  <c r="E35" i="6"/>
  <c r="D35" i="6"/>
  <c r="C35" i="6"/>
  <c r="E34" i="6"/>
  <c r="D34" i="6"/>
  <c r="C34" i="6"/>
  <c r="E33" i="6"/>
  <c r="D33" i="6"/>
  <c r="C33" i="6"/>
  <c r="E32" i="6"/>
  <c r="D32" i="6"/>
  <c r="C32" i="6"/>
  <c r="J31" i="6"/>
  <c r="E31" i="6"/>
  <c r="D31" i="6"/>
  <c r="C31" i="6"/>
  <c r="H30" i="6"/>
  <c r="E30" i="6"/>
  <c r="D30" i="6"/>
  <c r="C30" i="6"/>
  <c r="H29" i="6"/>
  <c r="E29" i="6"/>
  <c r="D29" i="6"/>
  <c r="C29" i="6"/>
  <c r="J28" i="6"/>
  <c r="H28" i="6"/>
  <c r="E28" i="6"/>
  <c r="D28" i="6"/>
  <c r="C28" i="6"/>
  <c r="H27" i="6"/>
  <c r="E27" i="6"/>
  <c r="D27" i="6"/>
  <c r="C27" i="6"/>
  <c r="H26" i="6"/>
  <c r="E26" i="6"/>
  <c r="D26" i="6"/>
  <c r="C26" i="6"/>
  <c r="H25" i="6"/>
  <c r="E25" i="6"/>
  <c r="D25" i="6"/>
  <c r="C25" i="6"/>
  <c r="H24" i="6"/>
  <c r="E24" i="6"/>
  <c r="D24" i="6"/>
  <c r="C24" i="6"/>
  <c r="J23" i="6"/>
  <c r="H23" i="6"/>
  <c r="E23" i="6"/>
  <c r="D23" i="6"/>
  <c r="C23" i="6"/>
  <c r="E22" i="6"/>
  <c r="D22" i="6"/>
  <c r="C22" i="6"/>
  <c r="E21" i="6"/>
  <c r="D21" i="6"/>
  <c r="C21" i="6"/>
  <c r="E20" i="6"/>
  <c r="D20" i="6"/>
  <c r="C20" i="6"/>
  <c r="E19" i="6"/>
  <c r="D19" i="6"/>
  <c r="C19" i="6"/>
  <c r="J18" i="6"/>
  <c r="E18" i="6"/>
  <c r="D18" i="6"/>
  <c r="C18" i="6"/>
  <c r="G12" i="6"/>
  <c r="G10" i="6"/>
  <c r="B10" i="6"/>
  <c r="G9" i="6"/>
  <c r="G11" i="6" s="1"/>
  <c r="B9" i="6"/>
  <c r="C5" i="6"/>
  <c r="C4" i="6"/>
  <c r="B3" i="6"/>
  <c r="B2" i="6"/>
  <c r="J63" i="5"/>
  <c r="H63" i="5" s="1"/>
  <c r="E63" i="5"/>
  <c r="D63" i="5"/>
  <c r="C63" i="5"/>
  <c r="B63" i="5"/>
  <c r="B64" i="5" s="1"/>
  <c r="E62" i="5"/>
  <c r="D62" i="5"/>
  <c r="C62" i="5"/>
  <c r="E61" i="5"/>
  <c r="D61" i="5"/>
  <c r="C61" i="5"/>
  <c r="E60" i="5"/>
  <c r="D60" i="5"/>
  <c r="F60" i="5" s="1"/>
  <c r="C60" i="5"/>
  <c r="E59" i="5"/>
  <c r="D59" i="5"/>
  <c r="C59" i="5"/>
  <c r="F59" i="5" s="1"/>
  <c r="E58" i="5"/>
  <c r="D58" i="5"/>
  <c r="C58" i="5"/>
  <c r="E57" i="5"/>
  <c r="D57" i="5"/>
  <c r="C57" i="5"/>
  <c r="E56" i="5"/>
  <c r="D56" i="5"/>
  <c r="C56" i="5"/>
  <c r="E55" i="5"/>
  <c r="D55" i="5"/>
  <c r="C55" i="5"/>
  <c r="E54" i="5"/>
  <c r="D54" i="5"/>
  <c r="C54" i="5"/>
  <c r="J53" i="5"/>
  <c r="E53" i="5"/>
  <c r="D53" i="5"/>
  <c r="F53" i="5" s="1"/>
  <c r="C53" i="5"/>
  <c r="J52" i="5"/>
  <c r="H52" i="5" s="1"/>
  <c r="E52" i="5"/>
  <c r="D52" i="5"/>
  <c r="C52" i="5"/>
  <c r="E51" i="5"/>
  <c r="D51" i="5"/>
  <c r="C51" i="5"/>
  <c r="F51" i="5" s="1"/>
  <c r="E50" i="5"/>
  <c r="D50" i="5"/>
  <c r="C50" i="5"/>
  <c r="E49" i="5"/>
  <c r="D49" i="5"/>
  <c r="C49" i="5"/>
  <c r="E48" i="5"/>
  <c r="D48" i="5"/>
  <c r="C48" i="5"/>
  <c r="E47" i="5"/>
  <c r="D47" i="5"/>
  <c r="C47" i="5"/>
  <c r="J46" i="5"/>
  <c r="E46" i="5"/>
  <c r="D46" i="5"/>
  <c r="C46" i="5"/>
  <c r="E45" i="5"/>
  <c r="D45" i="5"/>
  <c r="C45" i="5"/>
  <c r="J44" i="5"/>
  <c r="E44" i="5"/>
  <c r="D44" i="5"/>
  <c r="C44" i="5"/>
  <c r="J43" i="5"/>
  <c r="H43" i="5" s="1"/>
  <c r="E43" i="5"/>
  <c r="D43" i="5"/>
  <c r="F43" i="5" s="1"/>
  <c r="C43" i="5"/>
  <c r="H42" i="5"/>
  <c r="E42" i="5"/>
  <c r="D42" i="5"/>
  <c r="C42" i="5"/>
  <c r="H41" i="5"/>
  <c r="E41" i="5"/>
  <c r="D41" i="5"/>
  <c r="C41" i="5"/>
  <c r="H40" i="5"/>
  <c r="E40" i="5"/>
  <c r="D40" i="5"/>
  <c r="C40" i="5"/>
  <c r="H39" i="5"/>
  <c r="E39" i="5"/>
  <c r="D39" i="5"/>
  <c r="C39" i="5"/>
  <c r="J38" i="5"/>
  <c r="H38" i="5"/>
  <c r="E38" i="5"/>
  <c r="D38" i="5"/>
  <c r="C38" i="5"/>
  <c r="H37" i="5"/>
  <c r="E37" i="5"/>
  <c r="D37" i="5"/>
  <c r="C37" i="5"/>
  <c r="J36" i="5"/>
  <c r="H36" i="5"/>
  <c r="E36" i="5"/>
  <c r="D36" i="5"/>
  <c r="C36" i="5"/>
  <c r="J35" i="5"/>
  <c r="H35" i="5"/>
  <c r="E35" i="5"/>
  <c r="D35" i="5"/>
  <c r="C35" i="5"/>
  <c r="E34" i="5"/>
  <c r="D34" i="5"/>
  <c r="C34" i="5"/>
  <c r="E33" i="5"/>
  <c r="D33" i="5"/>
  <c r="C33" i="5"/>
  <c r="E32" i="5"/>
  <c r="D32" i="5"/>
  <c r="C32" i="5"/>
  <c r="J31" i="5"/>
  <c r="E31" i="5"/>
  <c r="D31" i="5"/>
  <c r="C31" i="5"/>
  <c r="H30" i="5"/>
  <c r="E30" i="5"/>
  <c r="D30" i="5"/>
  <c r="C30" i="5"/>
  <c r="H29" i="5"/>
  <c r="E29" i="5"/>
  <c r="D29" i="5"/>
  <c r="C29" i="5"/>
  <c r="J28" i="5"/>
  <c r="H28" i="5"/>
  <c r="E28" i="5"/>
  <c r="D28" i="5"/>
  <c r="C28" i="5"/>
  <c r="H27" i="5"/>
  <c r="E27" i="5"/>
  <c r="D27" i="5"/>
  <c r="C27" i="5"/>
  <c r="H26" i="5"/>
  <c r="E26" i="5"/>
  <c r="D26" i="5"/>
  <c r="C26" i="5"/>
  <c r="H25" i="5"/>
  <c r="E25" i="5"/>
  <c r="D25" i="5"/>
  <c r="C25" i="5"/>
  <c r="H24" i="5"/>
  <c r="E24" i="5"/>
  <c r="D24" i="5"/>
  <c r="C24" i="5"/>
  <c r="J23" i="5"/>
  <c r="H23" i="5"/>
  <c r="E23" i="5"/>
  <c r="D23" i="5"/>
  <c r="C23" i="5"/>
  <c r="E22" i="5"/>
  <c r="D22" i="5"/>
  <c r="C22" i="5"/>
  <c r="E21" i="5"/>
  <c r="D21" i="5"/>
  <c r="F21" i="5" s="1"/>
  <c r="C21" i="5"/>
  <c r="E20" i="5"/>
  <c r="D20" i="5"/>
  <c r="C20" i="5"/>
  <c r="E19" i="5"/>
  <c r="D19" i="5"/>
  <c r="C19" i="5"/>
  <c r="J18" i="5"/>
  <c r="E18" i="5"/>
  <c r="D18" i="5"/>
  <c r="C18" i="5"/>
  <c r="G12" i="5"/>
  <c r="G10" i="5"/>
  <c r="B10" i="5"/>
  <c r="G9" i="5"/>
  <c r="G11" i="5" s="1"/>
  <c r="B9" i="5"/>
  <c r="C5" i="5"/>
  <c r="C4" i="5"/>
  <c r="B3" i="5"/>
  <c r="B2" i="5"/>
  <c r="J63" i="4"/>
  <c r="H63" i="4" s="1"/>
  <c r="E63" i="4"/>
  <c r="D63" i="4"/>
  <c r="C63" i="4"/>
  <c r="B63" i="4"/>
  <c r="E62" i="4"/>
  <c r="D62" i="4"/>
  <c r="C62" i="4"/>
  <c r="E61" i="4"/>
  <c r="D61" i="4"/>
  <c r="C61" i="4"/>
  <c r="E60" i="4"/>
  <c r="D60" i="4"/>
  <c r="C60" i="4"/>
  <c r="F60" i="4" s="1"/>
  <c r="E59" i="4"/>
  <c r="D59" i="4"/>
  <c r="C59" i="4"/>
  <c r="E58" i="4"/>
  <c r="D58" i="4"/>
  <c r="C58" i="4"/>
  <c r="F58" i="4" s="1"/>
  <c r="E57" i="4"/>
  <c r="D57" i="4"/>
  <c r="C57" i="4"/>
  <c r="E56" i="4"/>
  <c r="D56" i="4"/>
  <c r="C56" i="4"/>
  <c r="F56" i="4" s="1"/>
  <c r="E55" i="4"/>
  <c r="D55" i="4"/>
  <c r="C55" i="4"/>
  <c r="E54" i="4"/>
  <c r="D54" i="4"/>
  <c r="C54" i="4"/>
  <c r="F54" i="4" s="1"/>
  <c r="J53" i="4"/>
  <c r="E53" i="4"/>
  <c r="D53" i="4"/>
  <c r="C53" i="4"/>
  <c r="F53" i="4" s="1"/>
  <c r="J52" i="4"/>
  <c r="H52" i="4" s="1"/>
  <c r="E52" i="4"/>
  <c r="D52" i="4"/>
  <c r="C52" i="4"/>
  <c r="F52" i="4" s="1"/>
  <c r="E51" i="4"/>
  <c r="D51" i="4"/>
  <c r="C51" i="4"/>
  <c r="E50" i="4"/>
  <c r="D50" i="4"/>
  <c r="C50" i="4"/>
  <c r="F50" i="4" s="1"/>
  <c r="E49" i="4"/>
  <c r="D49" i="4"/>
  <c r="C49" i="4"/>
  <c r="E48" i="4"/>
  <c r="D48" i="4"/>
  <c r="C48" i="4"/>
  <c r="F48" i="4" s="1"/>
  <c r="E47" i="4"/>
  <c r="D47" i="4"/>
  <c r="C47" i="4"/>
  <c r="J46" i="4"/>
  <c r="E46" i="4"/>
  <c r="D46" i="4"/>
  <c r="C46" i="4"/>
  <c r="E45" i="4"/>
  <c r="D45" i="4"/>
  <c r="C45" i="4"/>
  <c r="F45" i="4" s="1"/>
  <c r="J44" i="4"/>
  <c r="E44" i="4"/>
  <c r="D44" i="4"/>
  <c r="C44" i="4"/>
  <c r="F44" i="4" s="1"/>
  <c r="J43" i="4"/>
  <c r="H43" i="4" s="1"/>
  <c r="E43" i="4"/>
  <c r="D43" i="4"/>
  <c r="C43" i="4"/>
  <c r="F43" i="4" s="1"/>
  <c r="H42" i="4"/>
  <c r="E42" i="4"/>
  <c r="D42" i="4"/>
  <c r="C42" i="4"/>
  <c r="F42" i="4" s="1"/>
  <c r="H41" i="4"/>
  <c r="E41" i="4"/>
  <c r="D41" i="4"/>
  <c r="C41" i="4"/>
  <c r="F41" i="4" s="1"/>
  <c r="H40" i="4"/>
  <c r="E40" i="4"/>
  <c r="D40" i="4"/>
  <c r="C40" i="4"/>
  <c r="H39" i="4"/>
  <c r="E39" i="4"/>
  <c r="D39" i="4"/>
  <c r="C39" i="4"/>
  <c r="F39" i="4" s="1"/>
  <c r="J38" i="4"/>
  <c r="H38" i="4"/>
  <c r="E38" i="4"/>
  <c r="D38" i="4"/>
  <c r="C38" i="4"/>
  <c r="H37" i="4"/>
  <c r="E37" i="4"/>
  <c r="D37" i="4"/>
  <c r="F37" i="4" s="1"/>
  <c r="C37" i="4"/>
  <c r="J36" i="4"/>
  <c r="H36" i="4"/>
  <c r="E36" i="4"/>
  <c r="D36" i="4"/>
  <c r="C36" i="4"/>
  <c r="J35" i="4"/>
  <c r="H35" i="4"/>
  <c r="E35" i="4"/>
  <c r="D35" i="4"/>
  <c r="C35" i="4"/>
  <c r="E34" i="4"/>
  <c r="D34" i="4"/>
  <c r="C34" i="4"/>
  <c r="F34" i="4" s="1"/>
  <c r="E33" i="4"/>
  <c r="D33" i="4"/>
  <c r="C33" i="4"/>
  <c r="E32" i="4"/>
  <c r="D32" i="4"/>
  <c r="C32" i="4"/>
  <c r="J31" i="4"/>
  <c r="E31" i="4"/>
  <c r="D31" i="4"/>
  <c r="C31" i="4"/>
  <c r="H30" i="4"/>
  <c r="E30" i="4"/>
  <c r="D30" i="4"/>
  <c r="C30" i="4"/>
  <c r="H29" i="4"/>
  <c r="E29" i="4"/>
  <c r="D29" i="4"/>
  <c r="C29" i="4"/>
  <c r="J28" i="4"/>
  <c r="H28" i="4"/>
  <c r="E28" i="4"/>
  <c r="D28" i="4"/>
  <c r="C28" i="4"/>
  <c r="H27" i="4"/>
  <c r="E27" i="4"/>
  <c r="D27" i="4"/>
  <c r="C27" i="4"/>
  <c r="H26" i="4"/>
  <c r="E26" i="4"/>
  <c r="D26" i="4"/>
  <c r="C26" i="4"/>
  <c r="H25" i="4"/>
  <c r="E25" i="4"/>
  <c r="D25" i="4"/>
  <c r="C25" i="4"/>
  <c r="H24" i="4"/>
  <c r="E24" i="4"/>
  <c r="D24" i="4"/>
  <c r="C24" i="4"/>
  <c r="J23" i="4"/>
  <c r="H23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J18" i="4"/>
  <c r="E18" i="4"/>
  <c r="D18" i="4"/>
  <c r="C18" i="4"/>
  <c r="G12" i="4"/>
  <c r="G10" i="4"/>
  <c r="B10" i="4"/>
  <c r="G9" i="4"/>
  <c r="G11" i="4" s="1"/>
  <c r="B9" i="4"/>
  <c r="C5" i="4"/>
  <c r="C4" i="4"/>
  <c r="B3" i="4"/>
  <c r="B2" i="4"/>
  <c r="J63" i="3"/>
  <c r="H63" i="3" s="1"/>
  <c r="E63" i="3"/>
  <c r="D63" i="3"/>
  <c r="C63" i="3"/>
  <c r="B63" i="3"/>
  <c r="E62" i="3"/>
  <c r="D62" i="3"/>
  <c r="C62" i="3"/>
  <c r="E61" i="3"/>
  <c r="D61" i="3"/>
  <c r="C61" i="3"/>
  <c r="F61" i="3" s="1"/>
  <c r="E60" i="3"/>
  <c r="D60" i="3"/>
  <c r="C60" i="3"/>
  <c r="E59" i="3"/>
  <c r="D59" i="3"/>
  <c r="C59" i="3"/>
  <c r="E58" i="3"/>
  <c r="D58" i="3"/>
  <c r="C58" i="3"/>
  <c r="E57" i="3"/>
  <c r="D57" i="3"/>
  <c r="C57" i="3"/>
  <c r="E56" i="3"/>
  <c r="D56" i="3"/>
  <c r="C56" i="3"/>
  <c r="E55" i="3"/>
  <c r="D55" i="3"/>
  <c r="C55" i="3"/>
  <c r="F55" i="3" s="1"/>
  <c r="E54" i="3"/>
  <c r="D54" i="3"/>
  <c r="C54" i="3"/>
  <c r="J53" i="3"/>
  <c r="E53" i="3"/>
  <c r="D53" i="3"/>
  <c r="C53" i="3"/>
  <c r="J52" i="3"/>
  <c r="H52" i="3" s="1"/>
  <c r="E52" i="3"/>
  <c r="D52" i="3"/>
  <c r="F52" i="3" s="1"/>
  <c r="C52" i="3"/>
  <c r="E51" i="3"/>
  <c r="D51" i="3"/>
  <c r="C51" i="3"/>
  <c r="F51" i="3" s="1"/>
  <c r="E50" i="3"/>
  <c r="D50" i="3"/>
  <c r="C50" i="3"/>
  <c r="E49" i="3"/>
  <c r="D49" i="3"/>
  <c r="C49" i="3"/>
  <c r="F49" i="3" s="1"/>
  <c r="E48" i="3"/>
  <c r="D48" i="3"/>
  <c r="C48" i="3"/>
  <c r="E47" i="3"/>
  <c r="D47" i="3"/>
  <c r="C47" i="3"/>
  <c r="F47" i="3" s="1"/>
  <c r="J46" i="3"/>
  <c r="E46" i="3"/>
  <c r="D46" i="3"/>
  <c r="C46" i="3"/>
  <c r="F46" i="3" s="1"/>
  <c r="E45" i="3"/>
  <c r="D45" i="3"/>
  <c r="C45" i="3"/>
  <c r="J44" i="3"/>
  <c r="E44" i="3"/>
  <c r="D44" i="3"/>
  <c r="C44" i="3"/>
  <c r="J43" i="3"/>
  <c r="H43" i="3" s="1"/>
  <c r="E43" i="3"/>
  <c r="D43" i="3"/>
  <c r="C43" i="3"/>
  <c r="H42" i="3"/>
  <c r="E42" i="3"/>
  <c r="D42" i="3"/>
  <c r="C42" i="3"/>
  <c r="H41" i="3"/>
  <c r="E41" i="3"/>
  <c r="D41" i="3"/>
  <c r="C41" i="3"/>
  <c r="H40" i="3"/>
  <c r="E40" i="3"/>
  <c r="D40" i="3"/>
  <c r="C40" i="3"/>
  <c r="H39" i="3"/>
  <c r="E39" i="3"/>
  <c r="D39" i="3"/>
  <c r="C39" i="3"/>
  <c r="J38" i="3"/>
  <c r="H38" i="3"/>
  <c r="E38" i="3"/>
  <c r="D38" i="3"/>
  <c r="C38" i="3"/>
  <c r="H37" i="3"/>
  <c r="E37" i="3"/>
  <c r="D37" i="3"/>
  <c r="C37" i="3"/>
  <c r="J36" i="3"/>
  <c r="H36" i="3"/>
  <c r="E36" i="3"/>
  <c r="D36" i="3"/>
  <c r="C36" i="3"/>
  <c r="J35" i="3"/>
  <c r="H35" i="3"/>
  <c r="E35" i="3"/>
  <c r="D35" i="3"/>
  <c r="C35" i="3"/>
  <c r="E34" i="3"/>
  <c r="D34" i="3"/>
  <c r="C34" i="3"/>
  <c r="E33" i="3"/>
  <c r="D33" i="3"/>
  <c r="C33" i="3"/>
  <c r="E32" i="3"/>
  <c r="D32" i="3"/>
  <c r="C32" i="3"/>
  <c r="J31" i="3"/>
  <c r="E31" i="3"/>
  <c r="D31" i="3"/>
  <c r="C31" i="3"/>
  <c r="H30" i="3"/>
  <c r="E30" i="3"/>
  <c r="D30" i="3"/>
  <c r="C30" i="3"/>
  <c r="H29" i="3"/>
  <c r="E29" i="3"/>
  <c r="D29" i="3"/>
  <c r="C29" i="3"/>
  <c r="J28" i="3"/>
  <c r="H28" i="3"/>
  <c r="E28" i="3"/>
  <c r="D28" i="3"/>
  <c r="C28" i="3"/>
  <c r="H27" i="3"/>
  <c r="E27" i="3"/>
  <c r="D27" i="3"/>
  <c r="C27" i="3"/>
  <c r="H26" i="3"/>
  <c r="E26" i="3"/>
  <c r="D26" i="3"/>
  <c r="C26" i="3"/>
  <c r="H25" i="3"/>
  <c r="E25" i="3"/>
  <c r="D25" i="3"/>
  <c r="C25" i="3"/>
  <c r="H24" i="3"/>
  <c r="E24" i="3"/>
  <c r="D24" i="3"/>
  <c r="C24" i="3"/>
  <c r="J23" i="3"/>
  <c r="H23" i="3"/>
  <c r="E23" i="3"/>
  <c r="D23" i="3"/>
  <c r="C23" i="3"/>
  <c r="E22" i="3"/>
  <c r="D22" i="3"/>
  <c r="C22" i="3"/>
  <c r="E21" i="3"/>
  <c r="D21" i="3"/>
  <c r="C21" i="3"/>
  <c r="E20" i="3"/>
  <c r="D20" i="3"/>
  <c r="C20" i="3"/>
  <c r="E19" i="3"/>
  <c r="D19" i="3"/>
  <c r="C19" i="3"/>
  <c r="J18" i="3"/>
  <c r="J64" i="3" s="1"/>
  <c r="E18" i="3"/>
  <c r="D18" i="3"/>
  <c r="D64" i="3" s="1"/>
  <c r="C18" i="3"/>
  <c r="G12" i="3"/>
  <c r="G10" i="3"/>
  <c r="B10" i="3"/>
  <c r="G9" i="3"/>
  <c r="G11" i="3" s="1"/>
  <c r="B9" i="3"/>
  <c r="C5" i="3"/>
  <c r="C4" i="3"/>
  <c r="B3" i="3"/>
  <c r="B2" i="3"/>
  <c r="J63" i="2"/>
  <c r="H63" i="2" s="1"/>
  <c r="E63" i="2"/>
  <c r="D63" i="2"/>
  <c r="C63" i="2"/>
  <c r="B63" i="2"/>
  <c r="E62" i="2"/>
  <c r="D62" i="2"/>
  <c r="C62" i="2"/>
  <c r="E61" i="2"/>
  <c r="D61" i="2"/>
  <c r="C61" i="2"/>
  <c r="E60" i="2"/>
  <c r="D60" i="2"/>
  <c r="C60" i="2"/>
  <c r="E59" i="2"/>
  <c r="D59" i="2"/>
  <c r="C59" i="2"/>
  <c r="E58" i="2"/>
  <c r="D58" i="2"/>
  <c r="C58" i="2"/>
  <c r="E57" i="2"/>
  <c r="D57" i="2"/>
  <c r="C57" i="2"/>
  <c r="E56" i="2"/>
  <c r="D56" i="2"/>
  <c r="C56" i="2"/>
  <c r="E55" i="2"/>
  <c r="D55" i="2"/>
  <c r="C55" i="2"/>
  <c r="E54" i="2"/>
  <c r="D54" i="2"/>
  <c r="C54" i="2"/>
  <c r="J53" i="2"/>
  <c r="E53" i="2"/>
  <c r="D53" i="2"/>
  <c r="C53" i="2"/>
  <c r="J52" i="2"/>
  <c r="H52" i="2" s="1"/>
  <c r="E52" i="2"/>
  <c r="D52" i="2"/>
  <c r="C52" i="2"/>
  <c r="F52" i="2" s="1"/>
  <c r="E51" i="2"/>
  <c r="D51" i="2"/>
  <c r="C51" i="2"/>
  <c r="E50" i="2"/>
  <c r="D50" i="2"/>
  <c r="C50" i="2"/>
  <c r="E49" i="2"/>
  <c r="D49" i="2"/>
  <c r="C49" i="2"/>
  <c r="E48" i="2"/>
  <c r="D48" i="2"/>
  <c r="C48" i="2"/>
  <c r="F48" i="2" s="1"/>
  <c r="E47" i="2"/>
  <c r="D47" i="2"/>
  <c r="C47" i="2"/>
  <c r="J46" i="2"/>
  <c r="E46" i="2"/>
  <c r="D46" i="2"/>
  <c r="C46" i="2"/>
  <c r="E45" i="2"/>
  <c r="D45" i="2"/>
  <c r="C45" i="2"/>
  <c r="J44" i="2"/>
  <c r="E44" i="2"/>
  <c r="D44" i="2"/>
  <c r="C44" i="2"/>
  <c r="J43" i="2"/>
  <c r="H43" i="2" s="1"/>
  <c r="E43" i="2"/>
  <c r="D43" i="2"/>
  <c r="C43" i="2"/>
  <c r="H42" i="2"/>
  <c r="E42" i="2"/>
  <c r="D42" i="2"/>
  <c r="C42" i="2"/>
  <c r="H41" i="2"/>
  <c r="E41" i="2"/>
  <c r="D41" i="2"/>
  <c r="C41" i="2"/>
  <c r="F41" i="2" s="1"/>
  <c r="H40" i="2"/>
  <c r="E40" i="2"/>
  <c r="D40" i="2"/>
  <c r="C40" i="2"/>
  <c r="H39" i="2"/>
  <c r="E39" i="2"/>
  <c r="D39" i="2"/>
  <c r="C39" i="2"/>
  <c r="F39" i="2" s="1"/>
  <c r="J38" i="2"/>
  <c r="H38" i="2"/>
  <c r="E38" i="2"/>
  <c r="D38" i="2"/>
  <c r="C38" i="2"/>
  <c r="H37" i="2"/>
  <c r="E37" i="2"/>
  <c r="D37" i="2"/>
  <c r="C37" i="2"/>
  <c r="J36" i="2"/>
  <c r="H36" i="2"/>
  <c r="E36" i="2"/>
  <c r="D36" i="2"/>
  <c r="C36" i="2"/>
  <c r="J35" i="2"/>
  <c r="H35" i="2"/>
  <c r="E35" i="2"/>
  <c r="D35" i="2"/>
  <c r="C35" i="2"/>
  <c r="E34" i="2"/>
  <c r="D34" i="2"/>
  <c r="C34" i="2"/>
  <c r="E33" i="2"/>
  <c r="D33" i="2"/>
  <c r="C33" i="2"/>
  <c r="E32" i="2"/>
  <c r="D32" i="2"/>
  <c r="C32" i="2"/>
  <c r="F32" i="2" s="1"/>
  <c r="J31" i="2"/>
  <c r="E31" i="2"/>
  <c r="D31" i="2"/>
  <c r="C31" i="2"/>
  <c r="F31" i="2" s="1"/>
  <c r="H30" i="2"/>
  <c r="E30" i="2"/>
  <c r="D30" i="2"/>
  <c r="C30" i="2"/>
  <c r="F30" i="2" s="1"/>
  <c r="H29" i="2"/>
  <c r="E29" i="2"/>
  <c r="D29" i="2"/>
  <c r="C29" i="2"/>
  <c r="F29" i="2" s="1"/>
  <c r="J28" i="2"/>
  <c r="H28" i="2"/>
  <c r="E28" i="2"/>
  <c r="D28" i="2"/>
  <c r="C28" i="2"/>
  <c r="H27" i="2"/>
  <c r="E27" i="2"/>
  <c r="D27" i="2"/>
  <c r="C27" i="2"/>
  <c r="H26" i="2"/>
  <c r="E26" i="2"/>
  <c r="D26" i="2"/>
  <c r="C26" i="2"/>
  <c r="H25" i="2"/>
  <c r="E25" i="2"/>
  <c r="D25" i="2"/>
  <c r="C25" i="2"/>
  <c r="H24" i="2"/>
  <c r="E24" i="2"/>
  <c r="D24" i="2"/>
  <c r="C24" i="2"/>
  <c r="J23" i="2"/>
  <c r="H23" i="2"/>
  <c r="E23" i="2"/>
  <c r="D23" i="2"/>
  <c r="C23" i="2"/>
  <c r="E22" i="2"/>
  <c r="D22" i="2"/>
  <c r="C22" i="2"/>
  <c r="E21" i="2"/>
  <c r="D21" i="2"/>
  <c r="C21" i="2"/>
  <c r="F21" i="2" s="1"/>
  <c r="E20" i="2"/>
  <c r="D20" i="2"/>
  <c r="C20" i="2"/>
  <c r="E19" i="2"/>
  <c r="D19" i="2"/>
  <c r="C19" i="2"/>
  <c r="J18" i="2"/>
  <c r="E18" i="2"/>
  <c r="D18" i="2"/>
  <c r="C18" i="2"/>
  <c r="G12" i="2"/>
  <c r="G10" i="2"/>
  <c r="B10" i="2"/>
  <c r="G9" i="2"/>
  <c r="G11" i="2" s="1"/>
  <c r="B9" i="2"/>
  <c r="C5" i="2"/>
  <c r="C4" i="2"/>
  <c r="B3" i="2"/>
  <c r="B2" i="2"/>
  <c r="J63" i="1"/>
  <c r="H63" i="1" s="1"/>
  <c r="E63" i="1"/>
  <c r="D63" i="1"/>
  <c r="C63" i="1"/>
  <c r="B63" i="1"/>
  <c r="E62" i="1"/>
  <c r="D62" i="1"/>
  <c r="C62" i="1"/>
  <c r="E61" i="1"/>
  <c r="D61" i="1"/>
  <c r="C61" i="1"/>
  <c r="F61" i="1" s="1"/>
  <c r="E60" i="1"/>
  <c r="D60" i="1"/>
  <c r="C60" i="1"/>
  <c r="E59" i="1"/>
  <c r="D59" i="1"/>
  <c r="C59" i="1"/>
  <c r="E58" i="1"/>
  <c r="D58" i="1"/>
  <c r="C58" i="1"/>
  <c r="E57" i="1"/>
  <c r="D57" i="1"/>
  <c r="C57" i="1"/>
  <c r="F57" i="1" s="1"/>
  <c r="E56" i="1"/>
  <c r="D56" i="1"/>
  <c r="C56" i="1"/>
  <c r="E55" i="1"/>
  <c r="D55" i="1"/>
  <c r="C55" i="1"/>
  <c r="F55" i="1" s="1"/>
  <c r="E54" i="1"/>
  <c r="D54" i="1"/>
  <c r="C54" i="1"/>
  <c r="J53" i="1"/>
  <c r="E53" i="1"/>
  <c r="D53" i="1"/>
  <c r="C53" i="1"/>
  <c r="J52" i="1"/>
  <c r="H52" i="1" s="1"/>
  <c r="E52" i="1"/>
  <c r="D52" i="1"/>
  <c r="C52" i="1"/>
  <c r="E51" i="1"/>
  <c r="D51" i="1"/>
  <c r="C51" i="1"/>
  <c r="E50" i="1"/>
  <c r="D50" i="1"/>
  <c r="C50" i="1"/>
  <c r="E49" i="1"/>
  <c r="D49" i="1"/>
  <c r="C49" i="1"/>
  <c r="F49" i="1" s="1"/>
  <c r="E48" i="1"/>
  <c r="D48" i="1"/>
  <c r="C48" i="1"/>
  <c r="E47" i="1"/>
  <c r="D47" i="1"/>
  <c r="C47" i="1"/>
  <c r="J46" i="1"/>
  <c r="E46" i="1"/>
  <c r="D46" i="1"/>
  <c r="C46" i="1"/>
  <c r="E45" i="1"/>
  <c r="D45" i="1"/>
  <c r="C45" i="1"/>
  <c r="J44" i="1"/>
  <c r="E44" i="1"/>
  <c r="D44" i="1"/>
  <c r="C44" i="1"/>
  <c r="J43" i="1"/>
  <c r="H43" i="1" s="1"/>
  <c r="E43" i="1"/>
  <c r="D43" i="1"/>
  <c r="C43" i="1"/>
  <c r="H42" i="1"/>
  <c r="E42" i="1"/>
  <c r="D42" i="1"/>
  <c r="C42" i="1"/>
  <c r="H41" i="1"/>
  <c r="E41" i="1"/>
  <c r="D41" i="1"/>
  <c r="C41" i="1"/>
  <c r="H40" i="1"/>
  <c r="E40" i="1"/>
  <c r="D40" i="1"/>
  <c r="C40" i="1"/>
  <c r="H39" i="1"/>
  <c r="E39" i="1"/>
  <c r="D39" i="1"/>
  <c r="C39" i="1"/>
  <c r="J38" i="1"/>
  <c r="H38" i="1"/>
  <c r="E38" i="1"/>
  <c r="D38" i="1"/>
  <c r="C38" i="1"/>
  <c r="H37" i="1"/>
  <c r="E37" i="1"/>
  <c r="D37" i="1"/>
  <c r="C37" i="1"/>
  <c r="J36" i="1"/>
  <c r="H36" i="1"/>
  <c r="E36" i="1"/>
  <c r="D36" i="1"/>
  <c r="C36" i="1"/>
  <c r="J35" i="1"/>
  <c r="H35" i="1"/>
  <c r="E35" i="1"/>
  <c r="D35" i="1"/>
  <c r="C35" i="1"/>
  <c r="E34" i="1"/>
  <c r="D34" i="1"/>
  <c r="C34" i="1"/>
  <c r="E33" i="1"/>
  <c r="D33" i="1"/>
  <c r="C33" i="1"/>
  <c r="E32" i="1"/>
  <c r="D32" i="1"/>
  <c r="C32" i="1"/>
  <c r="J31" i="1"/>
  <c r="E31" i="1"/>
  <c r="D31" i="1"/>
  <c r="C31" i="1"/>
  <c r="H30" i="1"/>
  <c r="E30" i="1"/>
  <c r="D30" i="1"/>
  <c r="C30" i="1"/>
  <c r="H29" i="1"/>
  <c r="E29" i="1"/>
  <c r="D29" i="1"/>
  <c r="C29" i="1"/>
  <c r="J28" i="1"/>
  <c r="H28" i="1"/>
  <c r="E28" i="1"/>
  <c r="D28" i="1"/>
  <c r="C28" i="1"/>
  <c r="H27" i="1"/>
  <c r="E27" i="1"/>
  <c r="D27" i="1"/>
  <c r="C27" i="1"/>
  <c r="H26" i="1"/>
  <c r="E26" i="1"/>
  <c r="D26" i="1"/>
  <c r="C26" i="1"/>
  <c r="H25" i="1"/>
  <c r="E25" i="1"/>
  <c r="D25" i="1"/>
  <c r="C25" i="1"/>
  <c r="H24" i="1"/>
  <c r="E24" i="1"/>
  <c r="D24" i="1"/>
  <c r="C24" i="1"/>
  <c r="J23" i="1"/>
  <c r="H23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J18" i="1"/>
  <c r="J64" i="1" s="1"/>
  <c r="E18" i="1"/>
  <c r="D18" i="1"/>
  <c r="C18" i="1"/>
  <c r="G12" i="1"/>
  <c r="G10" i="1"/>
  <c r="B10" i="1"/>
  <c r="G9" i="1"/>
  <c r="G11" i="1" s="1"/>
  <c r="B9" i="1"/>
  <c r="C5" i="1"/>
  <c r="C4" i="1"/>
  <c r="B3" i="1"/>
  <c r="B2" i="1"/>
  <c r="F34" i="1" l="1"/>
  <c r="F36" i="1"/>
  <c r="F44" i="1"/>
  <c r="F56" i="1"/>
  <c r="F60" i="1"/>
  <c r="D64" i="2"/>
  <c r="J64" i="2"/>
  <c r="F49" i="2"/>
  <c r="F55" i="2"/>
  <c r="F59" i="2"/>
  <c r="F63" i="2"/>
  <c r="C64" i="3"/>
  <c r="E64" i="3"/>
  <c r="F20" i="3"/>
  <c r="F26" i="3"/>
  <c r="F30" i="3"/>
  <c r="F36" i="3"/>
  <c r="F40" i="3"/>
  <c r="F42" i="3"/>
  <c r="F62" i="3"/>
  <c r="D64" i="4"/>
  <c r="J64" i="4"/>
  <c r="F24" i="4"/>
  <c r="F25" i="4"/>
  <c r="F26" i="4"/>
  <c r="F27" i="4"/>
  <c r="F28" i="4"/>
  <c r="F32" i="4"/>
  <c r="F63" i="4"/>
  <c r="F18" i="5"/>
  <c r="F22" i="5"/>
  <c r="F23" i="5"/>
  <c r="F29" i="5"/>
  <c r="F32" i="5"/>
  <c r="F35" i="5"/>
  <c r="F37" i="5"/>
  <c r="F38" i="5"/>
  <c r="F44" i="5"/>
  <c r="F46" i="5"/>
  <c r="F50" i="5"/>
  <c r="F54" i="5"/>
  <c r="F56" i="5"/>
  <c r="D64" i="6"/>
  <c r="J64" i="6"/>
  <c r="F22" i="6"/>
  <c r="F24" i="6"/>
  <c r="F25" i="6"/>
  <c r="F26" i="6"/>
  <c r="F27" i="6"/>
  <c r="F28" i="6"/>
  <c r="F33" i="6"/>
  <c r="F37" i="6"/>
  <c r="F38" i="6"/>
  <c r="F46" i="6"/>
  <c r="F47" i="6"/>
  <c r="F51" i="6"/>
  <c r="F55" i="6"/>
  <c r="F59" i="6"/>
  <c r="F63" i="6"/>
  <c r="C64" i="7"/>
  <c r="E64" i="7"/>
  <c r="F30" i="7"/>
  <c r="F31" i="7"/>
  <c r="F32" i="7"/>
  <c r="F33" i="7"/>
  <c r="F34" i="7"/>
  <c r="F39" i="7"/>
  <c r="F41" i="7"/>
  <c r="F42" i="7"/>
  <c r="F43" i="7"/>
  <c r="F44" i="7"/>
  <c r="F45" i="7"/>
  <c r="F52" i="7"/>
  <c r="F53" i="7"/>
  <c r="D64" i="8"/>
  <c r="J64" i="8"/>
  <c r="F20" i="8"/>
  <c r="F22" i="8"/>
  <c r="F24" i="8"/>
  <c r="F25" i="8"/>
  <c r="F28" i="8"/>
  <c r="F33" i="8"/>
  <c r="F35" i="8"/>
  <c r="F37" i="8"/>
  <c r="F44" i="8"/>
  <c r="F45" i="8"/>
  <c r="F50" i="8"/>
  <c r="F56" i="8"/>
  <c r="D21" i="17"/>
  <c r="C21" i="17"/>
  <c r="F18" i="19"/>
  <c r="E21" i="19"/>
  <c r="F20" i="19"/>
  <c r="E21" i="22"/>
  <c r="F20" i="1"/>
  <c r="F35" i="1"/>
  <c r="F58" i="1"/>
  <c r="F22" i="2"/>
  <c r="F24" i="2"/>
  <c r="F25" i="2"/>
  <c r="F26" i="2"/>
  <c r="F27" i="2"/>
  <c r="F28" i="2"/>
  <c r="F33" i="2"/>
  <c r="F37" i="2"/>
  <c r="F38" i="2"/>
  <c r="F18" i="1"/>
  <c r="F45" i="1"/>
  <c r="F50" i="1"/>
  <c r="F53" i="2"/>
  <c r="F54" i="2"/>
  <c r="F58" i="2"/>
  <c r="F62" i="2"/>
  <c r="F19" i="3"/>
  <c r="F21" i="3"/>
  <c r="F22" i="3"/>
  <c r="F25" i="3"/>
  <c r="F27" i="3"/>
  <c r="F31" i="3"/>
  <c r="F32" i="3"/>
  <c r="F33" i="3"/>
  <c r="F35" i="3"/>
  <c r="F37" i="3"/>
  <c r="F39" i="3"/>
  <c r="F41" i="3"/>
  <c r="F44" i="3"/>
  <c r="F45" i="3"/>
  <c r="F54" i="3"/>
  <c r="F56" i="3"/>
  <c r="F57" i="3"/>
  <c r="F63" i="3"/>
  <c r="C64" i="4"/>
  <c r="E64" i="4"/>
  <c r="F19" i="4"/>
  <c r="F21" i="4"/>
  <c r="F23" i="4"/>
  <c r="F29" i="4"/>
  <c r="F30" i="4"/>
  <c r="F31" i="4"/>
  <c r="F38" i="4"/>
  <c r="F46" i="4"/>
  <c r="F47" i="4"/>
  <c r="F49" i="4"/>
  <c r="F51" i="4"/>
  <c r="F57" i="4"/>
  <c r="F59" i="4"/>
  <c r="F62" i="4"/>
  <c r="F19" i="5"/>
  <c r="F24" i="5"/>
  <c r="F26" i="5"/>
  <c r="F27" i="5"/>
  <c r="F28" i="5"/>
  <c r="F31" i="5"/>
  <c r="F34" i="5"/>
  <c r="F39" i="5"/>
  <c r="F40" i="5"/>
  <c r="F41" i="5"/>
  <c r="F42" i="5"/>
  <c r="F45" i="5"/>
  <c r="F52" i="5"/>
  <c r="F58" i="5"/>
  <c r="F61" i="5"/>
  <c r="F62" i="5"/>
  <c r="F21" i="6"/>
  <c r="F29" i="6"/>
  <c r="F30" i="6"/>
  <c r="F31" i="6"/>
  <c r="F32" i="6"/>
  <c r="F40" i="6"/>
  <c r="F42" i="6"/>
  <c r="F43" i="6"/>
  <c r="F53" i="6"/>
  <c r="F54" i="6"/>
  <c r="F58" i="6"/>
  <c r="F62" i="6"/>
  <c r="F50" i="7"/>
  <c r="F18" i="8"/>
  <c r="F19" i="8"/>
  <c r="F21" i="8"/>
  <c r="F23" i="8"/>
  <c r="F27" i="8"/>
  <c r="F29" i="8"/>
  <c r="F30" i="8"/>
  <c r="F31" i="8"/>
  <c r="F34" i="8"/>
  <c r="F36" i="8"/>
  <c r="F40" i="8"/>
  <c r="F54" i="8"/>
  <c r="F60" i="8"/>
  <c r="G11" i="19"/>
  <c r="B21" i="19"/>
  <c r="B21" i="23"/>
  <c r="F18" i="18"/>
  <c r="F59" i="3"/>
  <c r="F48" i="5"/>
  <c r="F19" i="7"/>
  <c r="F21" i="7"/>
  <c r="F24" i="7"/>
  <c r="F25" i="7"/>
  <c r="F26" i="7"/>
  <c r="F27" i="7"/>
  <c r="F28" i="7"/>
  <c r="F29" i="7"/>
  <c r="F37" i="7"/>
  <c r="F38" i="7"/>
  <c r="F48" i="7"/>
  <c r="F58" i="7"/>
  <c r="F62" i="7"/>
  <c r="F61" i="8"/>
  <c r="F18" i="17"/>
  <c r="E21" i="17"/>
  <c r="F20" i="17"/>
  <c r="B21" i="17"/>
  <c r="D21" i="16"/>
  <c r="F19" i="16"/>
  <c r="D21" i="21"/>
  <c r="F19" i="21"/>
  <c r="F20" i="20"/>
  <c r="D21" i="19"/>
  <c r="F19" i="19"/>
  <c r="D21" i="23"/>
  <c r="F19" i="23"/>
  <c r="F19" i="22"/>
  <c r="F32" i="8"/>
  <c r="F39" i="8"/>
  <c r="F48" i="8"/>
  <c r="F52" i="8"/>
  <c r="F55" i="8"/>
  <c r="F38" i="8"/>
  <c r="F42" i="8"/>
  <c r="F46" i="8"/>
  <c r="F47" i="8"/>
  <c r="F51" i="8"/>
  <c r="F58" i="8"/>
  <c r="F26" i="8"/>
  <c r="F41" i="8"/>
  <c r="F43" i="8"/>
  <c r="F49" i="8"/>
  <c r="F53" i="8"/>
  <c r="F57" i="8"/>
  <c r="F59" i="8"/>
  <c r="F18" i="7"/>
  <c r="F35" i="7"/>
  <c r="F46" i="7"/>
  <c r="D64" i="7"/>
  <c r="F47" i="7"/>
  <c r="F20" i="7"/>
  <c r="F49" i="7"/>
  <c r="F54" i="7"/>
  <c r="F60" i="7"/>
  <c r="F22" i="7"/>
  <c r="F36" i="7"/>
  <c r="F40" i="7"/>
  <c r="F51" i="7"/>
  <c r="F56" i="7"/>
  <c r="F61" i="7"/>
  <c r="E64" i="6"/>
  <c r="F52" i="6"/>
  <c r="F48" i="6"/>
  <c r="F18" i="6"/>
  <c r="F19" i="6"/>
  <c r="F23" i="6"/>
  <c r="F34" i="6"/>
  <c r="F36" i="6"/>
  <c r="F49" i="6"/>
  <c r="F50" i="6"/>
  <c r="F56" i="6"/>
  <c r="F60" i="6"/>
  <c r="F20" i="6"/>
  <c r="F35" i="6"/>
  <c r="F39" i="6"/>
  <c r="F41" i="6"/>
  <c r="F44" i="6"/>
  <c r="F45" i="6"/>
  <c r="F57" i="6"/>
  <c r="F61" i="6"/>
  <c r="C64" i="5"/>
  <c r="J64" i="5"/>
  <c r="F33" i="5"/>
  <c r="F36" i="5"/>
  <c r="F57" i="5"/>
  <c r="E64" i="5"/>
  <c r="F25" i="5"/>
  <c r="F30" i="5"/>
  <c r="F47" i="5"/>
  <c r="D64" i="5"/>
  <c r="F20" i="5"/>
  <c r="F49" i="5"/>
  <c r="F55" i="5"/>
  <c r="F63" i="5"/>
  <c r="F22" i="4"/>
  <c r="F33" i="4"/>
  <c r="F36" i="4"/>
  <c r="F40" i="4"/>
  <c r="F18" i="4"/>
  <c r="F35" i="4"/>
  <c r="F61" i="4"/>
  <c r="B64" i="4"/>
  <c r="F20" i="4"/>
  <c r="F55" i="4"/>
  <c r="F28" i="3"/>
  <c r="F50" i="3"/>
  <c r="F53" i="3"/>
  <c r="F60" i="3"/>
  <c r="F43" i="3"/>
  <c r="F24" i="3"/>
  <c r="F23" i="3"/>
  <c r="F29" i="3"/>
  <c r="F34" i="3"/>
  <c r="F38" i="3"/>
  <c r="F48" i="3"/>
  <c r="F58" i="3"/>
  <c r="F46" i="2"/>
  <c r="F47" i="2"/>
  <c r="F51" i="2"/>
  <c r="F57" i="2"/>
  <c r="F61" i="2"/>
  <c r="B64" i="2"/>
  <c r="F18" i="2"/>
  <c r="F19" i="2"/>
  <c r="F23" i="2"/>
  <c r="F34" i="2"/>
  <c r="F36" i="2"/>
  <c r="F20" i="2"/>
  <c r="F35" i="2"/>
  <c r="F40" i="2"/>
  <c r="E64" i="2"/>
  <c r="F42" i="2"/>
  <c r="F43" i="2"/>
  <c r="F44" i="2"/>
  <c r="F45" i="2"/>
  <c r="F50" i="2"/>
  <c r="F56" i="2"/>
  <c r="F60" i="2"/>
  <c r="D64" i="1"/>
  <c r="F22" i="1"/>
  <c r="F24" i="1"/>
  <c r="F25" i="1"/>
  <c r="F26" i="1"/>
  <c r="F27" i="1"/>
  <c r="F28" i="1"/>
  <c r="F33" i="1"/>
  <c r="F37" i="1"/>
  <c r="F38" i="1"/>
  <c r="F48" i="1"/>
  <c r="F52" i="1"/>
  <c r="F53" i="1"/>
  <c r="F59" i="1"/>
  <c r="F19" i="1"/>
  <c r="F23" i="1"/>
  <c r="F62" i="1"/>
  <c r="E64" i="1"/>
  <c r="F21" i="1"/>
  <c r="F29" i="1"/>
  <c r="F30" i="1"/>
  <c r="F31" i="1"/>
  <c r="F32" i="1"/>
  <c r="F39" i="1"/>
  <c r="F40" i="1"/>
  <c r="F41" i="1"/>
  <c r="F42" i="1"/>
  <c r="F43" i="1"/>
  <c r="F46" i="1"/>
  <c r="F47" i="1"/>
  <c r="F51" i="1"/>
  <c r="F54" i="1"/>
  <c r="F63" i="1"/>
  <c r="E21" i="20"/>
  <c r="F18" i="20"/>
  <c r="B21" i="20"/>
  <c r="F21" i="18"/>
  <c r="C22" i="18" s="1"/>
  <c r="F20" i="18"/>
  <c r="G20" i="18" s="1"/>
  <c r="F20" i="22"/>
  <c r="C21" i="22"/>
  <c r="C21" i="23"/>
  <c r="F21" i="23" s="1"/>
  <c r="C21" i="19"/>
  <c r="F21" i="19" s="1"/>
  <c r="C21" i="20"/>
  <c r="F20" i="21"/>
  <c r="C21" i="21"/>
  <c r="F20" i="16"/>
  <c r="C21" i="16"/>
  <c r="F21" i="17"/>
  <c r="G20" i="17" s="1"/>
  <c r="F19" i="17"/>
  <c r="C64" i="8"/>
  <c r="B64" i="8"/>
  <c r="B64" i="7"/>
  <c r="C64" i="6"/>
  <c r="B64" i="6"/>
  <c r="F64" i="5"/>
  <c r="G21" i="5" s="1"/>
  <c r="G33" i="5"/>
  <c r="G48" i="5"/>
  <c r="G62" i="5"/>
  <c r="F64" i="4"/>
  <c r="G28" i="4" s="1"/>
  <c r="G22" i="4"/>
  <c r="G33" i="4"/>
  <c r="G40" i="4"/>
  <c r="G48" i="4"/>
  <c r="G57" i="4"/>
  <c r="G20" i="4"/>
  <c r="G45" i="4"/>
  <c r="G60" i="4"/>
  <c r="G21" i="4"/>
  <c r="G35" i="4"/>
  <c r="I35" i="4" s="1"/>
  <c r="G43" i="4"/>
  <c r="I43" i="4" s="1"/>
  <c r="G53" i="4"/>
  <c r="G59" i="4"/>
  <c r="F18" i="3"/>
  <c r="B64" i="3"/>
  <c r="C64" i="2"/>
  <c r="C64" i="1"/>
  <c r="B64" i="1"/>
  <c r="J1" i="15"/>
  <c r="I1" i="15"/>
  <c r="H1" i="15"/>
  <c r="G1" i="15"/>
  <c r="F1" i="15"/>
  <c r="E1" i="15"/>
  <c r="D1" i="15"/>
  <c r="C1" i="15"/>
  <c r="Q1" i="9"/>
  <c r="O1" i="9"/>
  <c r="M1" i="9"/>
  <c r="K1" i="9"/>
  <c r="I1" i="9"/>
  <c r="G1" i="9"/>
  <c r="E1" i="9"/>
  <c r="C1" i="9"/>
  <c r="E22" i="19" l="1"/>
  <c r="B22" i="19"/>
  <c r="G31" i="5"/>
  <c r="G38" i="5"/>
  <c r="G54" i="5"/>
  <c r="G42" i="5"/>
  <c r="G24" i="5"/>
  <c r="G63" i="5"/>
  <c r="I63" i="5" s="1"/>
  <c r="G25" i="5"/>
  <c r="B22" i="17"/>
  <c r="G18" i="18"/>
  <c r="G19" i="18"/>
  <c r="E22" i="23"/>
  <c r="B22" i="23"/>
  <c r="G20" i="23"/>
  <c r="G19" i="23"/>
  <c r="E65" i="4"/>
  <c r="F21" i="20"/>
  <c r="G56" i="4"/>
  <c r="G50" i="4"/>
  <c r="G38" i="4"/>
  <c r="G27" i="4"/>
  <c r="G18" i="4"/>
  <c r="G49" i="4"/>
  <c r="G37" i="4"/>
  <c r="G62" i="4"/>
  <c r="G51" i="4"/>
  <c r="G44" i="4"/>
  <c r="G36" i="4"/>
  <c r="G24" i="4"/>
  <c r="D65" i="4"/>
  <c r="G47" i="4"/>
  <c r="G45" i="5"/>
  <c r="G41" i="5"/>
  <c r="G61" i="5"/>
  <c r="G18" i="5"/>
  <c r="C22" i="17"/>
  <c r="G19" i="19"/>
  <c r="G20" i="19"/>
  <c r="G18" i="20"/>
  <c r="D65" i="5"/>
  <c r="G50" i="5"/>
  <c r="I36" i="4"/>
  <c r="G19" i="4"/>
  <c r="B65" i="4"/>
  <c r="G30" i="4"/>
  <c r="G46" i="4"/>
  <c r="G39" i="4"/>
  <c r="G26" i="4"/>
  <c r="G61" i="4"/>
  <c r="G20" i="20"/>
  <c r="G19" i="20"/>
  <c r="G21" i="18"/>
  <c r="F22" i="18"/>
  <c r="E22" i="18"/>
  <c r="B22" i="18"/>
  <c r="D22" i="18"/>
  <c r="C22" i="22"/>
  <c r="F21" i="22"/>
  <c r="G18" i="23"/>
  <c r="G21" i="23"/>
  <c r="F22" i="23"/>
  <c r="C22" i="23"/>
  <c r="D22" i="23"/>
  <c r="C22" i="19"/>
  <c r="D22" i="19"/>
  <c r="G18" i="19"/>
  <c r="G21" i="19"/>
  <c r="F22" i="19"/>
  <c r="C22" i="20"/>
  <c r="D22" i="20"/>
  <c r="E22" i="20"/>
  <c r="G21" i="20"/>
  <c r="F22" i="20"/>
  <c r="B22" i="20"/>
  <c r="F21" i="21"/>
  <c r="G20" i="21" s="1"/>
  <c r="F21" i="16"/>
  <c r="C22" i="16" s="1"/>
  <c r="F22" i="17"/>
  <c r="G21" i="17"/>
  <c r="G19" i="17"/>
  <c r="D22" i="17"/>
  <c r="E22" i="17"/>
  <c r="G18" i="17"/>
  <c r="F64" i="8"/>
  <c r="F64" i="7"/>
  <c r="F64" i="6"/>
  <c r="B65" i="6" s="1"/>
  <c r="G57" i="5"/>
  <c r="G44" i="5"/>
  <c r="G29" i="5"/>
  <c r="C65" i="5"/>
  <c r="G49" i="5"/>
  <c r="G34" i="5"/>
  <c r="G20" i="5"/>
  <c r="G47" i="5"/>
  <c r="G28" i="5"/>
  <c r="B65" i="5"/>
  <c r="G53" i="5"/>
  <c r="G40" i="5"/>
  <c r="F65" i="5"/>
  <c r="G64" i="5"/>
  <c r="G55" i="5"/>
  <c r="G37" i="5"/>
  <c r="G22" i="5"/>
  <c r="G52" i="5"/>
  <c r="I52" i="5" s="1"/>
  <c r="G30" i="5"/>
  <c r="E65" i="5"/>
  <c r="G56" i="5"/>
  <c r="G43" i="5"/>
  <c r="I43" i="5" s="1"/>
  <c r="G27" i="5"/>
  <c r="G51" i="5"/>
  <c r="G36" i="5"/>
  <c r="I36" i="5" s="1"/>
  <c r="G19" i="5"/>
  <c r="G60" i="5"/>
  <c r="G39" i="5"/>
  <c r="I38" i="5" s="1"/>
  <c r="G26" i="5"/>
  <c r="G58" i="5"/>
  <c r="G32" i="5"/>
  <c r="G23" i="5"/>
  <c r="G59" i="5"/>
  <c r="G46" i="5"/>
  <c r="G35" i="5"/>
  <c r="I35" i="5" s="1"/>
  <c r="I18" i="4"/>
  <c r="H18" i="4" s="1"/>
  <c r="I44" i="4"/>
  <c r="H44" i="4" s="1"/>
  <c r="F65" i="4"/>
  <c r="G64" i="4"/>
  <c r="G58" i="4"/>
  <c r="G41" i="4"/>
  <c r="G25" i="4"/>
  <c r="G34" i="4"/>
  <c r="H21" i="4"/>
  <c r="I46" i="4"/>
  <c r="H46" i="4" s="1"/>
  <c r="G55" i="4"/>
  <c r="G31" i="4"/>
  <c r="G54" i="4"/>
  <c r="G42" i="4"/>
  <c r="I38" i="4" s="1"/>
  <c r="G29" i="4"/>
  <c r="I28" i="4" s="1"/>
  <c r="G63" i="4"/>
  <c r="I63" i="4" s="1"/>
  <c r="C65" i="4"/>
  <c r="G52" i="4"/>
  <c r="I52" i="4" s="1"/>
  <c r="G32" i="4"/>
  <c r="G23" i="4"/>
  <c r="F64" i="3"/>
  <c r="B65" i="3" s="1"/>
  <c r="F64" i="2"/>
  <c r="C65" i="2" s="1"/>
  <c r="F64" i="1"/>
  <c r="C65" i="6" l="1"/>
  <c r="C22" i="21"/>
  <c r="G18" i="3"/>
  <c r="H47" i="4"/>
  <c r="I31" i="5"/>
  <c r="I23" i="5"/>
  <c r="H48" i="4"/>
  <c r="G21" i="22"/>
  <c r="F22" i="22"/>
  <c r="D22" i="22"/>
  <c r="B22" i="22"/>
  <c r="G19" i="22"/>
  <c r="G18" i="22"/>
  <c r="E22" i="22"/>
  <c r="G20" i="22"/>
  <c r="G21" i="21"/>
  <c r="F22" i="21"/>
  <c r="G19" i="21"/>
  <c r="G18" i="21"/>
  <c r="E22" i="21"/>
  <c r="D22" i="21"/>
  <c r="B22" i="21"/>
  <c r="G20" i="16"/>
  <c r="G21" i="16"/>
  <c r="F22" i="16"/>
  <c r="G19" i="16"/>
  <c r="G18" i="16"/>
  <c r="E22" i="16"/>
  <c r="D22" i="16"/>
  <c r="B22" i="16"/>
  <c r="F65" i="8"/>
  <c r="G64" i="8"/>
  <c r="G30" i="8"/>
  <c r="G50" i="8"/>
  <c r="G63" i="8"/>
  <c r="I63" i="8" s="1"/>
  <c r="G35" i="8"/>
  <c r="I35" i="8" s="1"/>
  <c r="G49" i="8"/>
  <c r="G21" i="8"/>
  <c r="G32" i="8"/>
  <c r="G55" i="8"/>
  <c r="G23" i="8"/>
  <c r="G36" i="8"/>
  <c r="G46" i="8"/>
  <c r="G60" i="8"/>
  <c r="G45" i="8"/>
  <c r="G59" i="8"/>
  <c r="G52" i="8"/>
  <c r="I52" i="8" s="1"/>
  <c r="G42" i="8"/>
  <c r="G58" i="8"/>
  <c r="G22" i="8"/>
  <c r="G44" i="8"/>
  <c r="G56" i="8"/>
  <c r="G19" i="8"/>
  <c r="G41" i="8"/>
  <c r="G57" i="8"/>
  <c r="G27" i="8"/>
  <c r="G48" i="8"/>
  <c r="E65" i="8"/>
  <c r="G29" i="8"/>
  <c r="G40" i="8"/>
  <c r="D65" i="8"/>
  <c r="G33" i="8"/>
  <c r="G54" i="8"/>
  <c r="G18" i="8"/>
  <c r="G37" i="8"/>
  <c r="G53" i="8"/>
  <c r="G24" i="8"/>
  <c r="G39" i="8"/>
  <c r="G62" i="8"/>
  <c r="G25" i="8"/>
  <c r="G38" i="8"/>
  <c r="G47" i="8"/>
  <c r="G28" i="8"/>
  <c r="G61" i="8"/>
  <c r="G26" i="8"/>
  <c r="G43" i="8"/>
  <c r="I43" i="8" s="1"/>
  <c r="G31" i="8"/>
  <c r="G20" i="8"/>
  <c r="G34" i="8"/>
  <c r="G51" i="8"/>
  <c r="B65" i="8"/>
  <c r="C65" i="8"/>
  <c r="F65" i="7"/>
  <c r="G64" i="7"/>
  <c r="G25" i="7"/>
  <c r="G41" i="7"/>
  <c r="G63" i="7"/>
  <c r="I63" i="7" s="1"/>
  <c r="G34" i="7"/>
  <c r="G54" i="7"/>
  <c r="G22" i="7"/>
  <c r="G36" i="7"/>
  <c r="G44" i="7"/>
  <c r="G59" i="7"/>
  <c r="G27" i="7"/>
  <c r="G46" i="7"/>
  <c r="G57" i="7"/>
  <c r="D65" i="7"/>
  <c r="G30" i="7"/>
  <c r="G52" i="7"/>
  <c r="I52" i="7" s="1"/>
  <c r="G26" i="7"/>
  <c r="G45" i="7"/>
  <c r="C65" i="7"/>
  <c r="G29" i="7"/>
  <c r="G40" i="7"/>
  <c r="G51" i="7"/>
  <c r="G18" i="7"/>
  <c r="G38" i="7"/>
  <c r="G53" i="7"/>
  <c r="G32" i="7"/>
  <c r="G49" i="7"/>
  <c r="G33" i="7"/>
  <c r="G42" i="7"/>
  <c r="G56" i="7"/>
  <c r="G21" i="7"/>
  <c r="G43" i="7"/>
  <c r="I43" i="7" s="1"/>
  <c r="E65" i="7"/>
  <c r="G28" i="7"/>
  <c r="G47" i="7"/>
  <c r="G20" i="7"/>
  <c r="G39" i="7"/>
  <c r="G60" i="7"/>
  <c r="G24" i="7"/>
  <c r="G37" i="7"/>
  <c r="G48" i="7"/>
  <c r="G61" i="7"/>
  <c r="G35" i="7"/>
  <c r="I35" i="7" s="1"/>
  <c r="G50" i="7"/>
  <c r="G62" i="7"/>
  <c r="G23" i="7"/>
  <c r="G58" i="7"/>
  <c r="G31" i="7"/>
  <c r="G19" i="7"/>
  <c r="G55" i="7"/>
  <c r="B65" i="7"/>
  <c r="F65" i="6"/>
  <c r="G64" i="6"/>
  <c r="D65" i="6"/>
  <c r="G26" i="6"/>
  <c r="G37" i="6"/>
  <c r="G59" i="6"/>
  <c r="G57" i="6"/>
  <c r="G34" i="6"/>
  <c r="G56" i="6"/>
  <c r="E65" i="6"/>
  <c r="G31" i="6"/>
  <c r="G43" i="6"/>
  <c r="I43" i="6" s="1"/>
  <c r="G52" i="6"/>
  <c r="I52" i="6" s="1"/>
  <c r="G62" i="6"/>
  <c r="G45" i="6"/>
  <c r="G25" i="6"/>
  <c r="G33" i="6"/>
  <c r="G55" i="6"/>
  <c r="G44" i="6"/>
  <c r="G23" i="6"/>
  <c r="G50" i="6"/>
  <c r="G61" i="6"/>
  <c r="G30" i="6"/>
  <c r="G42" i="6"/>
  <c r="G51" i="6"/>
  <c r="G58" i="6"/>
  <c r="G41" i="6"/>
  <c r="G24" i="6"/>
  <c r="G28" i="6"/>
  <c r="G48" i="6"/>
  <c r="G39" i="6"/>
  <c r="G19" i="6"/>
  <c r="G49" i="6"/>
  <c r="G35" i="6"/>
  <c r="I35" i="6" s="1"/>
  <c r="G29" i="6"/>
  <c r="G40" i="6"/>
  <c r="G47" i="6"/>
  <c r="G54" i="6"/>
  <c r="G20" i="6"/>
  <c r="G22" i="6"/>
  <c r="G27" i="6"/>
  <c r="G38" i="6"/>
  <c r="G63" i="6"/>
  <c r="I63" i="6" s="1"/>
  <c r="G18" i="6"/>
  <c r="G36" i="6"/>
  <c r="I36" i="6" s="1"/>
  <c r="G60" i="6"/>
  <c r="G21" i="6"/>
  <c r="G32" i="6"/>
  <c r="G46" i="6"/>
  <c r="G53" i="6"/>
  <c r="H31" i="5"/>
  <c r="H33" i="5"/>
  <c r="I53" i="5"/>
  <c r="H53" i="5" s="1"/>
  <c r="I46" i="5"/>
  <c r="H51" i="5" s="1"/>
  <c r="I18" i="5"/>
  <c r="H22" i="5" s="1"/>
  <c r="H58" i="5"/>
  <c r="H55" i="5"/>
  <c r="I28" i="5"/>
  <c r="I44" i="5"/>
  <c r="H45" i="5" s="1"/>
  <c r="H56" i="5"/>
  <c r="H32" i="5"/>
  <c r="H60" i="5"/>
  <c r="H34" i="5"/>
  <c r="H19" i="4"/>
  <c r="H50" i="4"/>
  <c r="H51" i="4"/>
  <c r="H45" i="4"/>
  <c r="I31" i="4"/>
  <c r="H33" i="4" s="1"/>
  <c r="I23" i="4"/>
  <c r="H49" i="4"/>
  <c r="H22" i="4"/>
  <c r="H20" i="4"/>
  <c r="I53" i="4"/>
  <c r="F65" i="3"/>
  <c r="G64" i="3"/>
  <c r="G45" i="3"/>
  <c r="G24" i="3"/>
  <c r="G37" i="3"/>
  <c r="G56" i="3"/>
  <c r="G40" i="3"/>
  <c r="G27" i="3"/>
  <c r="G42" i="3"/>
  <c r="G58" i="3"/>
  <c r="D65" i="3"/>
  <c r="G30" i="3"/>
  <c r="G47" i="3"/>
  <c r="G62" i="3"/>
  <c r="G21" i="3"/>
  <c r="G49" i="3"/>
  <c r="G23" i="3"/>
  <c r="G55" i="3"/>
  <c r="G26" i="3"/>
  <c r="G59" i="3"/>
  <c r="G25" i="3"/>
  <c r="C65" i="3"/>
  <c r="G32" i="3"/>
  <c r="G46" i="3"/>
  <c r="G63" i="3"/>
  <c r="I63" i="3" s="1"/>
  <c r="G60" i="3"/>
  <c r="G34" i="3"/>
  <c r="G51" i="3"/>
  <c r="G44" i="3"/>
  <c r="G22" i="3"/>
  <c r="G41" i="3"/>
  <c r="G54" i="3"/>
  <c r="G35" i="3"/>
  <c r="I35" i="3" s="1"/>
  <c r="G20" i="3"/>
  <c r="G57" i="3"/>
  <c r="G31" i="3"/>
  <c r="G39" i="3"/>
  <c r="G61" i="3"/>
  <c r="G50" i="3"/>
  <c r="G29" i="3"/>
  <c r="G48" i="3"/>
  <c r="E65" i="3"/>
  <c r="G19" i="3"/>
  <c r="G33" i="3"/>
  <c r="G52" i="3"/>
  <c r="I52" i="3" s="1"/>
  <c r="G36" i="3"/>
  <c r="G28" i="3"/>
  <c r="G38" i="3"/>
  <c r="G53" i="3"/>
  <c r="G43" i="3"/>
  <c r="I43" i="3" s="1"/>
  <c r="B65" i="2"/>
  <c r="F65" i="2"/>
  <c r="G64" i="2"/>
  <c r="G26" i="2"/>
  <c r="G47" i="2"/>
  <c r="G35" i="2"/>
  <c r="I35" i="2" s="1"/>
  <c r="G59" i="2"/>
  <c r="G37" i="2"/>
  <c r="G18" i="2"/>
  <c r="G36" i="2"/>
  <c r="I36" i="2" s="1"/>
  <c r="G54" i="2"/>
  <c r="G21" i="2"/>
  <c r="G32" i="2"/>
  <c r="G43" i="2"/>
  <c r="I43" i="2" s="1"/>
  <c r="G56" i="2"/>
  <c r="G33" i="2"/>
  <c r="G49" i="2"/>
  <c r="D65" i="2"/>
  <c r="G57" i="2"/>
  <c r="G23" i="2"/>
  <c r="G52" i="2"/>
  <c r="I52" i="2" s="1"/>
  <c r="G62" i="2"/>
  <c r="G30" i="2"/>
  <c r="G45" i="2"/>
  <c r="G22" i="2"/>
  <c r="G27" i="2"/>
  <c r="G51" i="2"/>
  <c r="G40" i="2"/>
  <c r="G63" i="2"/>
  <c r="I63" i="2" s="1"/>
  <c r="G19" i="2"/>
  <c r="G48" i="2"/>
  <c r="G58" i="2"/>
  <c r="G29" i="2"/>
  <c r="G39" i="2"/>
  <c r="G44" i="2"/>
  <c r="G60" i="2"/>
  <c r="G25" i="2"/>
  <c r="G38" i="2"/>
  <c r="G20" i="2"/>
  <c r="G55" i="2"/>
  <c r="G28" i="2"/>
  <c r="G61" i="2"/>
  <c r="G34" i="2"/>
  <c r="G53" i="2"/>
  <c r="E65" i="2"/>
  <c r="G31" i="2"/>
  <c r="G42" i="2"/>
  <c r="G50" i="2"/>
  <c r="G24" i="2"/>
  <c r="G41" i="2"/>
  <c r="G46" i="2"/>
  <c r="F65" i="1"/>
  <c r="G64" i="1"/>
  <c r="G30" i="1"/>
  <c r="G40" i="1"/>
  <c r="G46" i="1"/>
  <c r="G56" i="1"/>
  <c r="G24" i="1"/>
  <c r="G28" i="1"/>
  <c r="G48" i="1"/>
  <c r="G18" i="1"/>
  <c r="G36" i="1"/>
  <c r="G62" i="1"/>
  <c r="G45" i="1"/>
  <c r="G60" i="1"/>
  <c r="G31" i="1"/>
  <c r="G47" i="1"/>
  <c r="G63" i="1"/>
  <c r="I63" i="1" s="1"/>
  <c r="G25" i="1"/>
  <c r="G52" i="1"/>
  <c r="I52" i="1" s="1"/>
  <c r="G49" i="1"/>
  <c r="G50" i="1"/>
  <c r="G29" i="1"/>
  <c r="G39" i="1"/>
  <c r="G43" i="1"/>
  <c r="I43" i="1" s="1"/>
  <c r="G54" i="1"/>
  <c r="G22" i="1"/>
  <c r="G27" i="1"/>
  <c r="G38" i="1"/>
  <c r="G59" i="1"/>
  <c r="G34" i="1"/>
  <c r="G61" i="1"/>
  <c r="G44" i="1"/>
  <c r="G58" i="1"/>
  <c r="E65" i="1"/>
  <c r="G33" i="1"/>
  <c r="G19" i="1"/>
  <c r="G20" i="1"/>
  <c r="G21" i="1"/>
  <c r="G32" i="1"/>
  <c r="G42" i="1"/>
  <c r="G51" i="1"/>
  <c r="D65" i="1"/>
  <c r="G26" i="1"/>
  <c r="G37" i="1"/>
  <c r="G53" i="1"/>
  <c r="G23" i="1"/>
  <c r="G55" i="1"/>
  <c r="G35" i="1"/>
  <c r="I35" i="1" s="1"/>
  <c r="G57" i="1"/>
  <c r="G41" i="1"/>
  <c r="B65" i="1"/>
  <c r="C65" i="1"/>
  <c r="B2" i="9"/>
  <c r="B2" i="15"/>
  <c r="I36" i="1" l="1"/>
  <c r="H31" i="4"/>
  <c r="H44" i="5"/>
  <c r="H47" i="5"/>
  <c r="I28" i="3"/>
  <c r="H20" i="5"/>
  <c r="I28" i="8"/>
  <c r="I23" i="7"/>
  <c r="I38" i="7"/>
  <c r="I38" i="6"/>
  <c r="H49" i="5"/>
  <c r="H46" i="5"/>
  <c r="H34" i="4"/>
  <c r="I23" i="3"/>
  <c r="I44" i="8"/>
  <c r="H45" i="8" s="1"/>
  <c r="I46" i="8"/>
  <c r="H50" i="8" s="1"/>
  <c r="I38" i="8"/>
  <c r="I18" i="8"/>
  <c r="H20" i="8" s="1"/>
  <c r="I31" i="8"/>
  <c r="H34" i="8" s="1"/>
  <c r="I23" i="8"/>
  <c r="H49" i="8"/>
  <c r="I53" i="8"/>
  <c r="I36" i="8"/>
  <c r="I44" i="7"/>
  <c r="H45" i="7" s="1"/>
  <c r="I53" i="7"/>
  <c r="I46" i="7"/>
  <c r="H48" i="7" s="1"/>
  <c r="I36" i="7"/>
  <c r="I28" i="7"/>
  <c r="I31" i="7"/>
  <c r="H33" i="7" s="1"/>
  <c r="I18" i="7"/>
  <c r="H20" i="7" s="1"/>
  <c r="H47" i="7"/>
  <c r="H21" i="7"/>
  <c r="I53" i="6"/>
  <c r="H53" i="6" s="1"/>
  <c r="I46" i="6"/>
  <c r="H49" i="6" s="1"/>
  <c r="H47" i="6"/>
  <c r="I28" i="6"/>
  <c r="H56" i="6"/>
  <c r="I44" i="6"/>
  <c r="H44" i="6" s="1"/>
  <c r="I31" i="6"/>
  <c r="H33" i="6" s="1"/>
  <c r="H60" i="6"/>
  <c r="H61" i="6"/>
  <c r="H45" i="6"/>
  <c r="I18" i="6"/>
  <c r="H48" i="6"/>
  <c r="I23" i="6"/>
  <c r="H57" i="5"/>
  <c r="H19" i="5"/>
  <c r="H62" i="5"/>
  <c r="H54" i="5"/>
  <c r="H61" i="5"/>
  <c r="I64" i="5"/>
  <c r="H18" i="5"/>
  <c r="H21" i="5"/>
  <c r="H50" i="5"/>
  <c r="H48" i="5"/>
  <c r="H59" i="5"/>
  <c r="H60" i="4"/>
  <c r="H61" i="4"/>
  <c r="H56" i="4"/>
  <c r="H57" i="4"/>
  <c r="H59" i="4"/>
  <c r="H53" i="4"/>
  <c r="H62" i="4"/>
  <c r="H55" i="4"/>
  <c r="H54" i="4"/>
  <c r="H58" i="4"/>
  <c r="H32" i="4"/>
  <c r="I64" i="4"/>
  <c r="I18" i="3"/>
  <c r="H21" i="3" s="1"/>
  <c r="I44" i="3"/>
  <c r="H45" i="3" s="1"/>
  <c r="I31" i="3"/>
  <c r="H32" i="3" s="1"/>
  <c r="I46" i="3"/>
  <c r="H47" i="3" s="1"/>
  <c r="I38" i="3"/>
  <c r="H51" i="3"/>
  <c r="I53" i="3"/>
  <c r="H57" i="3" s="1"/>
  <c r="I36" i="3"/>
  <c r="H61" i="3"/>
  <c r="H20" i="3"/>
  <c r="H22" i="3"/>
  <c r="H56" i="3"/>
  <c r="I18" i="2"/>
  <c r="H18" i="2" s="1"/>
  <c r="I28" i="2"/>
  <c r="I31" i="2"/>
  <c r="H34" i="2" s="1"/>
  <c r="I46" i="2"/>
  <c r="H49" i="2" s="1"/>
  <c r="I44" i="2"/>
  <c r="H44" i="2" s="1"/>
  <c r="H20" i="2"/>
  <c r="I53" i="2"/>
  <c r="H62" i="2" s="1"/>
  <c r="I38" i="2"/>
  <c r="H45" i="2"/>
  <c r="I23" i="2"/>
  <c r="H33" i="2"/>
  <c r="I31" i="1"/>
  <c r="H31" i="1" s="1"/>
  <c r="I44" i="1"/>
  <c r="H44" i="1" s="1"/>
  <c r="I46" i="1"/>
  <c r="H46" i="1" s="1"/>
  <c r="I18" i="1"/>
  <c r="H18" i="1" s="1"/>
  <c r="H33" i="1"/>
  <c r="I38" i="1"/>
  <c r="H49" i="1"/>
  <c r="I28" i="1"/>
  <c r="I53" i="1"/>
  <c r="H51" i="1"/>
  <c r="H48" i="1"/>
  <c r="I23" i="1"/>
  <c r="H22" i="1"/>
  <c r="F23" i="9"/>
  <c r="F61" i="9" s="1"/>
  <c r="J23" i="9"/>
  <c r="J61" i="9" s="1"/>
  <c r="N23" i="9"/>
  <c r="R23" i="9"/>
  <c r="R61" i="9" s="1"/>
  <c r="H23" i="9"/>
  <c r="H61" i="9" s="1"/>
  <c r="L23" i="9"/>
  <c r="L61" i="9" s="1"/>
  <c r="P23" i="9"/>
  <c r="H12" i="9"/>
  <c r="L12" i="9"/>
  <c r="P12" i="9"/>
  <c r="H13" i="9"/>
  <c r="L13" i="9"/>
  <c r="P13" i="9"/>
  <c r="H14" i="9"/>
  <c r="L14" i="9"/>
  <c r="P14" i="9"/>
  <c r="H11" i="9"/>
  <c r="L11" i="9"/>
  <c r="P11" i="9"/>
  <c r="H15" i="9"/>
  <c r="L15" i="9"/>
  <c r="P15" i="9"/>
  <c r="H16" i="9"/>
  <c r="L16" i="9"/>
  <c r="P16" i="9"/>
  <c r="H17" i="9"/>
  <c r="L17" i="9"/>
  <c r="P17" i="9"/>
  <c r="H18" i="9"/>
  <c r="L18" i="9"/>
  <c r="P18" i="9"/>
  <c r="H27" i="9"/>
  <c r="L27" i="9"/>
  <c r="P27" i="9"/>
  <c r="H28" i="9"/>
  <c r="L28" i="9"/>
  <c r="P28" i="9"/>
  <c r="F12" i="9"/>
  <c r="J12" i="9"/>
  <c r="N12" i="9"/>
  <c r="R12" i="9"/>
  <c r="F13" i="9"/>
  <c r="J13" i="9"/>
  <c r="N13" i="9"/>
  <c r="R13" i="9"/>
  <c r="F14" i="9"/>
  <c r="J14" i="9"/>
  <c r="N14" i="9"/>
  <c r="R14" i="9"/>
  <c r="F11" i="9"/>
  <c r="J11" i="9"/>
  <c r="N11" i="9"/>
  <c r="R11" i="9"/>
  <c r="F15" i="9"/>
  <c r="J15" i="9"/>
  <c r="N15" i="9"/>
  <c r="R15" i="9"/>
  <c r="F16" i="9"/>
  <c r="J16" i="9"/>
  <c r="N16" i="9"/>
  <c r="R16" i="9"/>
  <c r="F17" i="9"/>
  <c r="J17" i="9"/>
  <c r="N17" i="9"/>
  <c r="R17" i="9"/>
  <c r="F18" i="9"/>
  <c r="J18" i="9"/>
  <c r="N18" i="9"/>
  <c r="R18" i="9"/>
  <c r="F27" i="9"/>
  <c r="J27" i="9"/>
  <c r="N27" i="9"/>
  <c r="R27" i="9"/>
  <c r="F28" i="9"/>
  <c r="J28" i="9"/>
  <c r="N28" i="9"/>
  <c r="R28" i="9"/>
  <c r="F24" i="9"/>
  <c r="H24" i="9"/>
  <c r="J24" i="9"/>
  <c r="L24" i="9"/>
  <c r="N24" i="9"/>
  <c r="P24" i="9"/>
  <c r="R24" i="9"/>
  <c r="F25" i="9"/>
  <c r="H25" i="9"/>
  <c r="J25" i="9"/>
  <c r="L25" i="9"/>
  <c r="N25" i="9"/>
  <c r="P25" i="9"/>
  <c r="R25" i="9"/>
  <c r="F26" i="9"/>
  <c r="H26" i="9"/>
  <c r="J26" i="9"/>
  <c r="L26" i="9"/>
  <c r="N26" i="9"/>
  <c r="P26" i="9"/>
  <c r="R26" i="9"/>
  <c r="F29" i="9"/>
  <c r="H29" i="9"/>
  <c r="J29" i="9"/>
  <c r="L29" i="9"/>
  <c r="N29" i="9"/>
  <c r="P29" i="9"/>
  <c r="R29" i="9"/>
  <c r="F30" i="9"/>
  <c r="H30" i="9"/>
  <c r="J30" i="9"/>
  <c r="L30" i="9"/>
  <c r="N30" i="9"/>
  <c r="P30" i="9"/>
  <c r="R30" i="9"/>
  <c r="F31" i="9"/>
  <c r="H31" i="9"/>
  <c r="H64" i="9" s="1"/>
  <c r="J31" i="9"/>
  <c r="J64" i="9" s="1"/>
  <c r="L31" i="9"/>
  <c r="L64" i="9" s="1"/>
  <c r="N31" i="9"/>
  <c r="N64" i="9" s="1"/>
  <c r="P31" i="9"/>
  <c r="P64" i="9" s="1"/>
  <c r="R31" i="9"/>
  <c r="R64" i="9" s="1"/>
  <c r="F40" i="9"/>
  <c r="H40" i="9"/>
  <c r="H67" i="9" s="1"/>
  <c r="J40" i="9"/>
  <c r="J67" i="9" s="1"/>
  <c r="L40" i="9"/>
  <c r="N40" i="9"/>
  <c r="N67" i="9" s="1"/>
  <c r="P40" i="9"/>
  <c r="P67" i="9" s="1"/>
  <c r="R40" i="9"/>
  <c r="R67" i="9" s="1"/>
  <c r="F51" i="9"/>
  <c r="F69" i="9" s="1"/>
  <c r="H51" i="9"/>
  <c r="H69" i="9" s="1"/>
  <c r="J51" i="9"/>
  <c r="J69" i="9" s="1"/>
  <c r="L51" i="9"/>
  <c r="L69" i="9" s="1"/>
  <c r="N51" i="9"/>
  <c r="N69" i="9" s="1"/>
  <c r="P51" i="9"/>
  <c r="P69" i="9" s="1"/>
  <c r="R51" i="9"/>
  <c r="R69" i="9" s="1"/>
  <c r="J2" i="15"/>
  <c r="I2" i="15"/>
  <c r="H2" i="15"/>
  <c r="F2" i="15"/>
  <c r="E2" i="15"/>
  <c r="D2" i="15"/>
  <c r="O2" i="9"/>
  <c r="M2" i="9"/>
  <c r="K3" i="9"/>
  <c r="K2" i="9"/>
  <c r="G2" i="9"/>
  <c r="E2" i="9"/>
  <c r="C2" i="9"/>
  <c r="C197" i="9"/>
  <c r="B193" i="9"/>
  <c r="B194" i="9"/>
  <c r="B195" i="9"/>
  <c r="B196" i="9"/>
  <c r="B192" i="9"/>
  <c r="B184" i="9"/>
  <c r="B183" i="9"/>
  <c r="A183" i="9"/>
  <c r="A178" i="9"/>
  <c r="A176" i="9"/>
  <c r="N61" i="9"/>
  <c r="P61" i="9"/>
  <c r="E53" i="9"/>
  <c r="F53" i="9"/>
  <c r="P49" i="9"/>
  <c r="P48" i="9"/>
  <c r="P50" i="9"/>
  <c r="P45" i="9"/>
  <c r="P44" i="9"/>
  <c r="P46" i="9"/>
  <c r="P47" i="9"/>
  <c r="P42" i="9"/>
  <c r="P43" i="9"/>
  <c r="P41" i="9"/>
  <c r="O3" i="9"/>
  <c r="Q3" i="9"/>
  <c r="Q2" i="9"/>
  <c r="M3" i="9"/>
  <c r="I3" i="9"/>
  <c r="I2" i="9"/>
  <c r="G3" i="9"/>
  <c r="E3" i="9"/>
  <c r="C3" i="9"/>
  <c r="J3" i="15"/>
  <c r="I3" i="15"/>
  <c r="H3" i="15"/>
  <c r="G3" i="15"/>
  <c r="F3" i="15"/>
  <c r="E3" i="15"/>
  <c r="D3" i="15"/>
  <c r="C3" i="15"/>
  <c r="G55" i="9"/>
  <c r="A181" i="9"/>
  <c r="B180" i="9"/>
  <c r="B179" i="9"/>
  <c r="B177" i="9"/>
  <c r="B176" i="9"/>
  <c r="B174" i="9"/>
  <c r="A174" i="9"/>
  <c r="A169" i="9"/>
  <c r="B168" i="9"/>
  <c r="A168" i="9"/>
  <c r="B130" i="9"/>
  <c r="B129" i="9"/>
  <c r="Q55" i="9"/>
  <c r="O55" i="9"/>
  <c r="M55" i="9"/>
  <c r="K55" i="9"/>
  <c r="I55" i="9"/>
  <c r="E55" i="9"/>
  <c r="C55" i="9"/>
  <c r="H45" i="1" l="1"/>
  <c r="H51" i="2"/>
  <c r="H55" i="3"/>
  <c r="H44" i="3"/>
  <c r="H34" i="6"/>
  <c r="H51" i="7"/>
  <c r="H62" i="9"/>
  <c r="H50" i="2"/>
  <c r="H62" i="3"/>
  <c r="H60" i="3"/>
  <c r="H59" i="3"/>
  <c r="I64" i="6"/>
  <c r="H55" i="6"/>
  <c r="H46" i="6"/>
  <c r="H22" i="7"/>
  <c r="H22" i="8"/>
  <c r="H21" i="8"/>
  <c r="H19" i="8"/>
  <c r="H47" i="8"/>
  <c r="H32" i="8"/>
  <c r="R62" i="9"/>
  <c r="H33" i="8"/>
  <c r="H31" i="8"/>
  <c r="H18" i="8"/>
  <c r="H46" i="8"/>
  <c r="H48" i="8"/>
  <c r="H51" i="8"/>
  <c r="H49" i="7"/>
  <c r="H18" i="7"/>
  <c r="H46" i="7"/>
  <c r="H32" i="7"/>
  <c r="H50" i="7"/>
  <c r="H22" i="6"/>
  <c r="H50" i="6"/>
  <c r="H32" i="6"/>
  <c r="H20" i="6"/>
  <c r="H51" i="6"/>
  <c r="H58" i="6"/>
  <c r="H64" i="4"/>
  <c r="H58" i="3"/>
  <c r="H53" i="3"/>
  <c r="H32" i="2"/>
  <c r="H31" i="2"/>
  <c r="H34" i="1"/>
  <c r="H50" i="1"/>
  <c r="H47" i="1"/>
  <c r="H32" i="1"/>
  <c r="I64" i="8"/>
  <c r="H44" i="8"/>
  <c r="H31" i="7"/>
  <c r="H44" i="7"/>
  <c r="H34" i="7"/>
  <c r="I64" i="7"/>
  <c r="H19" i="7"/>
  <c r="N59" i="9"/>
  <c r="H59" i="6"/>
  <c r="H57" i="6"/>
  <c r="H62" i="6"/>
  <c r="H31" i="6"/>
  <c r="H54" i="6"/>
  <c r="H18" i="6"/>
  <c r="H21" i="6"/>
  <c r="H19" i="6"/>
  <c r="H64" i="5"/>
  <c r="J62" i="9"/>
  <c r="H63" i="9"/>
  <c r="I64" i="3"/>
  <c r="H18" i="3"/>
  <c r="H49" i="3"/>
  <c r="H33" i="3"/>
  <c r="H31" i="3"/>
  <c r="H34" i="3"/>
  <c r="H48" i="3"/>
  <c r="H54" i="3"/>
  <c r="H46" i="3"/>
  <c r="H19" i="3"/>
  <c r="H50" i="3"/>
  <c r="H60" i="2"/>
  <c r="H56" i="2"/>
  <c r="H22" i="2"/>
  <c r="H55" i="2"/>
  <c r="H53" i="2"/>
  <c r="H57" i="2"/>
  <c r="H46" i="2"/>
  <c r="H47" i="2"/>
  <c r="I64" i="2"/>
  <c r="H21" i="2"/>
  <c r="H58" i="2"/>
  <c r="H54" i="2"/>
  <c r="H48" i="2"/>
  <c r="H61" i="2"/>
  <c r="H59" i="2"/>
  <c r="H19" i="2"/>
  <c r="H20" i="1"/>
  <c r="H21" i="1"/>
  <c r="H19" i="1"/>
  <c r="H64" i="1" s="1"/>
  <c r="I64" i="1"/>
  <c r="U3" i="9"/>
  <c r="P58" i="9"/>
  <c r="W3" i="9"/>
  <c r="L59" i="9"/>
  <c r="R58" i="9"/>
  <c r="P68" i="9"/>
  <c r="V25" i="9"/>
  <c r="D177" i="9" s="1"/>
  <c r="V24" i="9"/>
  <c r="D176" i="9" s="1"/>
  <c r="V29" i="9"/>
  <c r="D179" i="9" s="1"/>
  <c r="F63" i="9"/>
  <c r="S3" i="9"/>
  <c r="F62" i="9"/>
  <c r="N62" i="9"/>
  <c r="L62" i="9"/>
  <c r="R59" i="9"/>
  <c r="P59" i="9"/>
  <c r="M3" i="15"/>
  <c r="P62" i="9"/>
  <c r="J58" i="9"/>
  <c r="J95" i="9"/>
  <c r="J221" i="9" s="1"/>
  <c r="J7" i="15"/>
  <c r="I95" i="9"/>
  <c r="I221" i="9" s="1"/>
  <c r="J6" i="15"/>
  <c r="V31" i="9"/>
  <c r="D181" i="9" s="1"/>
  <c r="H58" i="9"/>
  <c r="K95" i="9"/>
  <c r="L2" i="15"/>
  <c r="L63" i="9"/>
  <c r="V13" i="9"/>
  <c r="D127" i="9" s="1"/>
  <c r="V23" i="9"/>
  <c r="D144" i="9" s="1"/>
  <c r="R63" i="9"/>
  <c r="V18" i="9"/>
  <c r="D133" i="9" s="1"/>
  <c r="P63" i="9"/>
  <c r="N58" i="9"/>
  <c r="L58" i="9"/>
  <c r="L103" i="9"/>
  <c r="K103" i="9"/>
  <c r="I103" i="9"/>
  <c r="S2" i="9"/>
  <c r="W2" i="9"/>
  <c r="J103" i="9"/>
  <c r="J229" i="9" s="1"/>
  <c r="K3" i="15"/>
  <c r="L3" i="15"/>
  <c r="U2" i="9"/>
  <c r="F64" i="9"/>
  <c r="F67" i="9"/>
  <c r="V40" i="9"/>
  <c r="L95" i="9"/>
  <c r="V51" i="9"/>
  <c r="L67" i="9"/>
  <c r="V30" i="9"/>
  <c r="D180" i="9" s="1"/>
  <c r="N63" i="9"/>
  <c r="V26" i="9"/>
  <c r="V11" i="9"/>
  <c r="F58" i="9"/>
  <c r="J59" i="9"/>
  <c r="J63" i="9"/>
  <c r="V12" i="9"/>
  <c r="D126" i="9" s="1"/>
  <c r="C2" i="15"/>
  <c r="D8" i="15"/>
  <c r="J8" i="15"/>
  <c r="V28" i="9"/>
  <c r="D137" i="9" s="1"/>
  <c r="V27" i="9"/>
  <c r="D136" i="9" s="1"/>
  <c r="H59" i="9"/>
  <c r="G2" i="15"/>
  <c r="V17" i="9"/>
  <c r="D132" i="9" s="1"/>
  <c r="F59" i="9"/>
  <c r="V16" i="9"/>
  <c r="V15" i="9"/>
  <c r="D130" i="9" s="1"/>
  <c r="V14" i="9"/>
  <c r="D128" i="9" s="1"/>
  <c r="H64" i="2" l="1"/>
  <c r="H64" i="8"/>
  <c r="H64" i="7"/>
  <c r="L96" i="9"/>
  <c r="H64" i="6"/>
  <c r="I93" i="9"/>
  <c r="H64" i="3"/>
  <c r="V95" i="9"/>
  <c r="V103" i="9"/>
  <c r="V62" i="9"/>
  <c r="J9" i="15"/>
  <c r="K97" i="9"/>
  <c r="K223" i="9" s="1"/>
  <c r="K96" i="9"/>
  <c r="V61" i="9"/>
  <c r="I111" i="9"/>
  <c r="V64" i="9"/>
  <c r="S95" i="9"/>
  <c r="J96" i="9"/>
  <c r="J222" i="9" s="1"/>
  <c r="I96" i="9"/>
  <c r="S96" i="9" s="1"/>
  <c r="H111" i="9"/>
  <c r="P95" i="9"/>
  <c r="D7" i="15"/>
  <c r="K221" i="9"/>
  <c r="Q95" i="9"/>
  <c r="H7" i="15"/>
  <c r="H8" i="15"/>
  <c r="C12" i="9"/>
  <c r="C28" i="9"/>
  <c r="C18" i="9"/>
  <c r="C14" i="9"/>
  <c r="D131" i="9"/>
  <c r="V59" i="9"/>
  <c r="L97" i="9"/>
  <c r="I97" i="9"/>
  <c r="L92" i="9"/>
  <c r="Z58" i="9"/>
  <c r="J92" i="9"/>
  <c r="J218" i="9" s="1"/>
  <c r="K92" i="9"/>
  <c r="I92" i="9"/>
  <c r="C25" i="9"/>
  <c r="G6" i="15"/>
  <c r="M2" i="15"/>
  <c r="K2" i="15"/>
  <c r="C30" i="9"/>
  <c r="V69" i="9"/>
  <c r="D186" i="9"/>
  <c r="S103" i="9"/>
  <c r="H119" i="9"/>
  <c r="I119" i="9"/>
  <c r="I229" i="9"/>
  <c r="P103" i="9"/>
  <c r="C27" i="9"/>
  <c r="D185" i="9"/>
  <c r="V67" i="9"/>
  <c r="C15" i="9"/>
  <c r="Q103" i="9"/>
  <c r="K229" i="9"/>
  <c r="K101" i="9"/>
  <c r="I101" i="9"/>
  <c r="L101" i="9"/>
  <c r="J101" i="9"/>
  <c r="J227" i="9" s="1"/>
  <c r="G7" i="15"/>
  <c r="D6" i="15"/>
  <c r="C17" i="9"/>
  <c r="J93" i="9"/>
  <c r="J219" i="9" s="1"/>
  <c r="K93" i="9"/>
  <c r="L93" i="9"/>
  <c r="H6" i="15"/>
  <c r="C8" i="15"/>
  <c r="F6" i="15"/>
  <c r="J112" i="9"/>
  <c r="L222" i="9" s="1"/>
  <c r="D129" i="9"/>
  <c r="V58" i="9"/>
  <c r="D178" i="9"/>
  <c r="V63" i="9"/>
  <c r="J111" i="9"/>
  <c r="L221" i="9" s="1"/>
  <c r="M95" i="9"/>
  <c r="C29" i="9"/>
  <c r="K98" i="9"/>
  <c r="J98" i="9"/>
  <c r="J224" i="9" s="1"/>
  <c r="I98" i="9"/>
  <c r="L98" i="9"/>
  <c r="C13" i="9"/>
  <c r="M103" i="9"/>
  <c r="J119" i="9"/>
  <c r="L229" i="9" s="1"/>
  <c r="J97" i="9"/>
  <c r="J223" i="9" s="1"/>
  <c r="H112" i="9" l="1"/>
  <c r="L6" i="15"/>
  <c r="Q97" i="9"/>
  <c r="V98" i="9"/>
  <c r="V92" i="9"/>
  <c r="V93" i="9"/>
  <c r="V101" i="9"/>
  <c r="K111" i="9"/>
  <c r="M221" i="9" s="1"/>
  <c r="K222" i="9"/>
  <c r="V96" i="9"/>
  <c r="V97" i="9"/>
  <c r="M96" i="9"/>
  <c r="P96" i="9"/>
  <c r="Q96" i="9"/>
  <c r="I112" i="9"/>
  <c r="K112" i="9" s="1"/>
  <c r="I222" i="9"/>
  <c r="H9" i="15"/>
  <c r="C6" i="15"/>
  <c r="M46" i="9"/>
  <c r="G8" i="15"/>
  <c r="G9" i="15" s="1"/>
  <c r="K119" i="9"/>
  <c r="L119" i="9" s="1"/>
  <c r="N229" i="9" s="1"/>
  <c r="K39" i="9"/>
  <c r="G6" i="9"/>
  <c r="J114" i="9"/>
  <c r="L224" i="9" s="1"/>
  <c r="M98" i="9"/>
  <c r="C7" i="9"/>
  <c r="I6" i="9"/>
  <c r="K224" i="9"/>
  <c r="Q98" i="9"/>
  <c r="C9" i="9"/>
  <c r="Q93" i="9"/>
  <c r="K219" i="9"/>
  <c r="S93" i="9"/>
  <c r="P93" i="9"/>
  <c r="I219" i="9"/>
  <c r="H109" i="9"/>
  <c r="I109" i="9"/>
  <c r="J117" i="9"/>
  <c r="L227" i="9" s="1"/>
  <c r="M101" i="9"/>
  <c r="C24" i="9"/>
  <c r="M47" i="9"/>
  <c r="I13" i="9"/>
  <c r="I29" i="9"/>
  <c r="I12" i="9"/>
  <c r="I27" i="9"/>
  <c r="I17" i="9"/>
  <c r="I28" i="9"/>
  <c r="I18" i="9"/>
  <c r="I25" i="9"/>
  <c r="I14" i="9"/>
  <c r="I30" i="9"/>
  <c r="I15" i="9"/>
  <c r="F7" i="15"/>
  <c r="L7" i="15" s="1"/>
  <c r="Q6" i="9"/>
  <c r="M30" i="9"/>
  <c r="M18" i="9"/>
  <c r="M13" i="9"/>
  <c r="M17" i="9"/>
  <c r="M25" i="9"/>
  <c r="M14" i="9"/>
  <c r="M27" i="9"/>
  <c r="M12" i="9"/>
  <c r="M28" i="9"/>
  <c r="M29" i="9"/>
  <c r="M15" i="9"/>
  <c r="I108" i="9"/>
  <c r="H108" i="9"/>
  <c r="S92" i="9"/>
  <c r="P92" i="9"/>
  <c r="I218" i="9"/>
  <c r="J108" i="9"/>
  <c r="L218" i="9" s="1"/>
  <c r="M92" i="9"/>
  <c r="C8" i="9"/>
  <c r="C48" i="9"/>
  <c r="Q13" i="9"/>
  <c r="Q27" i="9"/>
  <c r="Q15" i="9"/>
  <c r="Q14" i="9"/>
  <c r="Q17" i="9"/>
  <c r="Q18" i="9"/>
  <c r="Q29" i="9"/>
  <c r="Q30" i="9"/>
  <c r="Q12" i="9"/>
  <c r="Q28" i="9"/>
  <c r="Q25" i="9"/>
  <c r="C45" i="9"/>
  <c r="C51" i="9"/>
  <c r="C43" i="9"/>
  <c r="E6" i="15"/>
  <c r="E7" i="15"/>
  <c r="C39" i="9"/>
  <c r="C22" i="9"/>
  <c r="C20" i="9"/>
  <c r="D9" i="15"/>
  <c r="C35" i="9"/>
  <c r="C47" i="9"/>
  <c r="O28" i="9"/>
  <c r="O29" i="9"/>
  <c r="O44" i="9"/>
  <c r="O43" i="9"/>
  <c r="O13" i="9"/>
  <c r="O46" i="9"/>
  <c r="O47" i="9"/>
  <c r="O15" i="9"/>
  <c r="O48" i="9"/>
  <c r="O12" i="9"/>
  <c r="O17" i="9"/>
  <c r="O25" i="9"/>
  <c r="O50" i="9"/>
  <c r="O42" i="9"/>
  <c r="O45" i="9"/>
  <c r="O18" i="9"/>
  <c r="O27" i="9"/>
  <c r="O49" i="9"/>
  <c r="O14" i="9"/>
  <c r="O30" i="9"/>
  <c r="C44" i="9"/>
  <c r="I7" i="15"/>
  <c r="I6" i="15"/>
  <c r="I8" i="15"/>
  <c r="C10" i="9"/>
  <c r="Q92" i="9"/>
  <c r="K218" i="9"/>
  <c r="C41" i="9"/>
  <c r="C40" i="9"/>
  <c r="S98" i="9"/>
  <c r="I224" i="9"/>
  <c r="H114" i="9"/>
  <c r="P98" i="9"/>
  <c r="I114" i="9"/>
  <c r="C46" i="9"/>
  <c r="I117" i="9"/>
  <c r="H117" i="9"/>
  <c r="P101" i="9"/>
  <c r="S101" i="9"/>
  <c r="I227" i="9"/>
  <c r="G25" i="9"/>
  <c r="G15" i="9"/>
  <c r="G27" i="9"/>
  <c r="G28" i="9"/>
  <c r="G29" i="9"/>
  <c r="G12" i="9"/>
  <c r="G30" i="9"/>
  <c r="G17" i="9"/>
  <c r="G13" i="9"/>
  <c r="G14" i="9"/>
  <c r="G18" i="9"/>
  <c r="K30" i="9"/>
  <c r="K25" i="9"/>
  <c r="K28" i="9"/>
  <c r="K15" i="9"/>
  <c r="K27" i="9"/>
  <c r="K17" i="9"/>
  <c r="K12" i="9"/>
  <c r="K18" i="9"/>
  <c r="K29" i="9"/>
  <c r="K14" i="9"/>
  <c r="K13" i="9"/>
  <c r="C49" i="9"/>
  <c r="Q42" i="9"/>
  <c r="C11" i="9"/>
  <c r="C50" i="9"/>
  <c r="C23" i="9"/>
  <c r="O6" i="9"/>
  <c r="E14" i="9"/>
  <c r="E30" i="9"/>
  <c r="E17" i="9"/>
  <c r="E13" i="9"/>
  <c r="E18" i="9"/>
  <c r="E15" i="9"/>
  <c r="E29" i="9"/>
  <c r="E25" i="9"/>
  <c r="E28" i="9"/>
  <c r="E12" i="9"/>
  <c r="E27" i="9"/>
  <c r="I223" i="9"/>
  <c r="H113" i="9"/>
  <c r="S97" i="9"/>
  <c r="I113" i="9"/>
  <c r="P97" i="9"/>
  <c r="C38" i="9"/>
  <c r="C16" i="9"/>
  <c r="C34" i="9"/>
  <c r="C36" i="9"/>
  <c r="M93" i="9"/>
  <c r="J109" i="9"/>
  <c r="L219" i="9" s="1"/>
  <c r="C31" i="9"/>
  <c r="K227" i="9"/>
  <c r="Q101" i="9"/>
  <c r="C42" i="9"/>
  <c r="C21" i="9"/>
  <c r="C6" i="9"/>
  <c r="E8" i="15"/>
  <c r="C33" i="9"/>
  <c r="C7" i="15"/>
  <c r="J113" i="9"/>
  <c r="L223" i="9" s="1"/>
  <c r="M97" i="9"/>
  <c r="F8" i="15"/>
  <c r="L8" i="15" s="1"/>
  <c r="C37" i="9"/>
  <c r="C19" i="9"/>
  <c r="C26" i="9"/>
  <c r="C32" i="9"/>
  <c r="U28" i="9" l="1"/>
  <c r="K6" i="15"/>
  <c r="L111" i="9"/>
  <c r="N221" i="9" s="1"/>
  <c r="K117" i="9"/>
  <c r="L117" i="9" s="1"/>
  <c r="N227" i="9" s="1"/>
  <c r="S14" i="9"/>
  <c r="M229" i="9"/>
  <c r="U17" i="9"/>
  <c r="W17" i="9"/>
  <c r="C52" i="9"/>
  <c r="U14" i="9"/>
  <c r="W29" i="9"/>
  <c r="W15" i="9"/>
  <c r="M6" i="15"/>
  <c r="S13" i="9"/>
  <c r="U29" i="9"/>
  <c r="S18" i="9"/>
  <c r="S30" i="9"/>
  <c r="K114" i="9"/>
  <c r="L114" i="9" s="1"/>
  <c r="N224" i="9" s="1"/>
  <c r="S25" i="9"/>
  <c r="U15" i="9"/>
  <c r="U13" i="9"/>
  <c r="W28" i="9"/>
  <c r="W13" i="9"/>
  <c r="S12" i="9"/>
  <c r="W27" i="9"/>
  <c r="W25" i="9"/>
  <c r="K8" i="15"/>
  <c r="W18" i="9"/>
  <c r="W30" i="9"/>
  <c r="W14" i="9"/>
  <c r="S29" i="9"/>
  <c r="M8" i="15"/>
  <c r="J43" i="9"/>
  <c r="I41" i="9"/>
  <c r="M42" i="9"/>
  <c r="E31" i="9"/>
  <c r="E23" i="9"/>
  <c r="E24" i="9"/>
  <c r="E11" i="9"/>
  <c r="E38" i="9"/>
  <c r="F7" i="9"/>
  <c r="E6" i="9"/>
  <c r="K24" i="9"/>
  <c r="K62" i="9" s="1"/>
  <c r="K33" i="9"/>
  <c r="L39" i="9"/>
  <c r="K34" i="9"/>
  <c r="G33" i="9"/>
  <c r="H41" i="9"/>
  <c r="G41" i="9"/>
  <c r="H34" i="9"/>
  <c r="G34" i="9"/>
  <c r="G21" i="9"/>
  <c r="G40" i="9"/>
  <c r="G67" i="9" s="1"/>
  <c r="G36" i="9"/>
  <c r="F9" i="15"/>
  <c r="C68" i="9"/>
  <c r="R42" i="9"/>
  <c r="Q41" i="9"/>
  <c r="O37" i="9"/>
  <c r="O24" i="9"/>
  <c r="O62" i="9" s="1"/>
  <c r="O16" i="9"/>
  <c r="O59" i="9" s="1"/>
  <c r="O36" i="9"/>
  <c r="O8" i="9"/>
  <c r="P8" i="9"/>
  <c r="Q50" i="9"/>
  <c r="Q37" i="9"/>
  <c r="Q7" i="9"/>
  <c r="Q48" i="9"/>
  <c r="Q16" i="9"/>
  <c r="Q59" i="9" s="1"/>
  <c r="Q26" i="9"/>
  <c r="Q63" i="9" s="1"/>
  <c r="Q8" i="9"/>
  <c r="M37" i="9"/>
  <c r="M23" i="9"/>
  <c r="M61" i="9" s="1"/>
  <c r="M7" i="9"/>
  <c r="I38" i="9"/>
  <c r="I23" i="9"/>
  <c r="I61" i="9" s="1"/>
  <c r="J21" i="9"/>
  <c r="I19" i="9"/>
  <c r="J32" i="9"/>
  <c r="I32" i="9"/>
  <c r="C60" i="9"/>
  <c r="L19" i="9"/>
  <c r="K19" i="9"/>
  <c r="M7" i="15"/>
  <c r="K7" i="15"/>
  <c r="C57" i="9"/>
  <c r="Q46" i="9"/>
  <c r="C64" i="9"/>
  <c r="U27" i="9"/>
  <c r="E48" i="9"/>
  <c r="F38" i="9"/>
  <c r="E34" i="9"/>
  <c r="K20" i="9"/>
  <c r="K47" i="9"/>
  <c r="K51" i="9"/>
  <c r="K69" i="9" s="1"/>
  <c r="K45" i="9"/>
  <c r="G47" i="9"/>
  <c r="C67" i="9"/>
  <c r="Q45" i="9"/>
  <c r="E50" i="9"/>
  <c r="O22" i="9"/>
  <c r="O41" i="9"/>
  <c r="O68" i="9" s="1"/>
  <c r="O26" i="9"/>
  <c r="O63" i="9" s="1"/>
  <c r="P9" i="9"/>
  <c r="O9" i="9"/>
  <c r="R32" i="9"/>
  <c r="Q32" i="9"/>
  <c r="Q24" i="9"/>
  <c r="Q62" i="9" s="1"/>
  <c r="Q36" i="9"/>
  <c r="C63" i="9"/>
  <c r="M41" i="9"/>
  <c r="K9" i="9"/>
  <c r="S15" i="9"/>
  <c r="E46" i="9"/>
  <c r="K113" i="9"/>
  <c r="E45" i="9"/>
  <c r="E35" i="9"/>
  <c r="E33" i="9"/>
  <c r="E36" i="9"/>
  <c r="E7" i="9"/>
  <c r="E16" i="9"/>
  <c r="E26" i="9"/>
  <c r="E47" i="9"/>
  <c r="F20" i="9"/>
  <c r="E19" i="9"/>
  <c r="C61" i="9"/>
  <c r="C58" i="9"/>
  <c r="K38" i="9"/>
  <c r="K46" i="9"/>
  <c r="K8" i="9"/>
  <c r="L22" i="9"/>
  <c r="K22" i="9"/>
  <c r="K48" i="9"/>
  <c r="K37" i="9"/>
  <c r="K26" i="9"/>
  <c r="K63" i="9" s="1"/>
  <c r="K36" i="9"/>
  <c r="G42" i="9"/>
  <c r="G48" i="9"/>
  <c r="G10" i="9"/>
  <c r="G46" i="9"/>
  <c r="G22" i="9"/>
  <c r="G9" i="9"/>
  <c r="G38" i="9"/>
  <c r="G16" i="9"/>
  <c r="G59" i="9" s="1"/>
  <c r="G23" i="9"/>
  <c r="G61" i="9" s="1"/>
  <c r="O35" i="9"/>
  <c r="O38" i="9"/>
  <c r="O21" i="9"/>
  <c r="O33" i="9"/>
  <c r="O11" i="9"/>
  <c r="O58" i="9" s="1"/>
  <c r="O51" i="9"/>
  <c r="O69" i="9" s="1"/>
  <c r="O19" i="9"/>
  <c r="P20" i="9"/>
  <c r="C69" i="9"/>
  <c r="Q49" i="9"/>
  <c r="Q51" i="9"/>
  <c r="Q69" i="9" s="1"/>
  <c r="Q40" i="9"/>
  <c r="Q67" i="9" s="1"/>
  <c r="Q39" i="9"/>
  <c r="Q31" i="9"/>
  <c r="Q64" i="9" s="1"/>
  <c r="R20" i="9"/>
  <c r="Q19" i="9"/>
  <c r="Q11" i="9"/>
  <c r="Q58" i="9" s="1"/>
  <c r="K108" i="9"/>
  <c r="M20" i="9"/>
  <c r="N9" i="9"/>
  <c r="M6" i="9"/>
  <c r="M39" i="9"/>
  <c r="M22" i="9"/>
  <c r="M48" i="9"/>
  <c r="M16" i="9"/>
  <c r="M59" i="9" s="1"/>
  <c r="N37" i="9"/>
  <c r="M34" i="9"/>
  <c r="M36" i="9"/>
  <c r="M45" i="9"/>
  <c r="I11" i="9"/>
  <c r="I58" i="9" s="1"/>
  <c r="I20" i="9"/>
  <c r="I37" i="9"/>
  <c r="I7" i="9"/>
  <c r="I9" i="9"/>
  <c r="I43" i="9"/>
  <c r="I16" i="9"/>
  <c r="I59" i="9" s="1"/>
  <c r="I21" i="9"/>
  <c r="I45" i="9"/>
  <c r="I44" i="9"/>
  <c r="S27" i="9"/>
  <c r="G8" i="9"/>
  <c r="F8" i="9"/>
  <c r="E8" i="9"/>
  <c r="E39" i="9"/>
  <c r="E22" i="9"/>
  <c r="K7" i="9"/>
  <c r="K10" i="9"/>
  <c r="L21" i="9"/>
  <c r="K21" i="9"/>
  <c r="K40" i="9"/>
  <c r="K67" i="9" s="1"/>
  <c r="K43" i="9"/>
  <c r="G24" i="9"/>
  <c r="G62" i="9" s="1"/>
  <c r="G39" i="9"/>
  <c r="G45" i="9"/>
  <c r="G49" i="9"/>
  <c r="O39" i="9"/>
  <c r="P10" i="9"/>
  <c r="O10" i="9"/>
  <c r="Q35" i="9"/>
  <c r="Q33" i="9"/>
  <c r="R37" i="9"/>
  <c r="Q34" i="9"/>
  <c r="M33" i="9"/>
  <c r="M24" i="9"/>
  <c r="M62" i="9" s="1"/>
  <c r="M21" i="9"/>
  <c r="M44" i="9"/>
  <c r="I10" i="9"/>
  <c r="I47" i="9"/>
  <c r="I35" i="9"/>
  <c r="I33" i="9"/>
  <c r="I24" i="9"/>
  <c r="I62" i="9" s="1"/>
  <c r="W12" i="9"/>
  <c r="F48" i="9"/>
  <c r="E41" i="9"/>
  <c r="E37" i="9"/>
  <c r="E40" i="9"/>
  <c r="U25" i="9"/>
  <c r="F32" i="9"/>
  <c r="E32" i="9"/>
  <c r="F44" i="9"/>
  <c r="E44" i="9"/>
  <c r="L43" i="9"/>
  <c r="K41" i="9"/>
  <c r="G50" i="9"/>
  <c r="G20" i="9"/>
  <c r="G37" i="9"/>
  <c r="G7" i="9"/>
  <c r="G51" i="9"/>
  <c r="G69" i="9" s="1"/>
  <c r="P7" i="9"/>
  <c r="O7" i="9"/>
  <c r="O23" i="9"/>
  <c r="O61" i="9" s="1"/>
  <c r="O40" i="9"/>
  <c r="O67" i="9" s="1"/>
  <c r="Q43" i="9"/>
  <c r="Q47" i="9"/>
  <c r="Q20" i="9"/>
  <c r="M8" i="9"/>
  <c r="M40" i="9"/>
  <c r="M67" i="9" s="1"/>
  <c r="M26" i="9"/>
  <c r="M63" i="9" s="1"/>
  <c r="M31" i="9"/>
  <c r="M64" i="9" s="1"/>
  <c r="M43" i="9"/>
  <c r="M19" i="9"/>
  <c r="N20" i="9"/>
  <c r="R7" i="9"/>
  <c r="I36" i="9"/>
  <c r="I51" i="9"/>
  <c r="I69" i="9" s="1"/>
  <c r="I39" i="9"/>
  <c r="I40" i="9"/>
  <c r="I67" i="9" s="1"/>
  <c r="J36" i="9"/>
  <c r="I34" i="9"/>
  <c r="I26" i="9"/>
  <c r="I63" i="9" s="1"/>
  <c r="I48" i="9"/>
  <c r="C62" i="9"/>
  <c r="E42" i="9"/>
  <c r="S17" i="9"/>
  <c r="K109" i="9"/>
  <c r="H10" i="9"/>
  <c r="C65" i="9"/>
  <c r="M222" i="9"/>
  <c r="L112" i="9"/>
  <c r="N222" i="9" s="1"/>
  <c r="M50" i="9"/>
  <c r="K44" i="9"/>
  <c r="C66" i="9"/>
  <c r="C59" i="9"/>
  <c r="K42" i="9"/>
  <c r="E43" i="9"/>
  <c r="F10" i="9"/>
  <c r="E10" i="9"/>
  <c r="U12" i="9"/>
  <c r="E20" i="9"/>
  <c r="F49" i="9"/>
  <c r="E49" i="9"/>
  <c r="U18" i="9"/>
  <c r="U30" i="9"/>
  <c r="E9" i="9"/>
  <c r="F9" i="9"/>
  <c r="E21" i="9"/>
  <c r="K35" i="9"/>
  <c r="K49" i="9"/>
  <c r="K31" i="9"/>
  <c r="K64" i="9" s="1"/>
  <c r="K11" i="9"/>
  <c r="K58" i="9" s="1"/>
  <c r="K23" i="9"/>
  <c r="K61" i="9" s="1"/>
  <c r="L8" i="9"/>
  <c r="K6" i="9"/>
  <c r="K16" i="9"/>
  <c r="K59" i="9" s="1"/>
  <c r="L32" i="9"/>
  <c r="K32" i="9"/>
  <c r="G44" i="9"/>
  <c r="G43" i="9"/>
  <c r="G32" i="9"/>
  <c r="G65" i="9" s="1"/>
  <c r="H32" i="9"/>
  <c r="G26" i="9"/>
  <c r="G63" i="9" s="1"/>
  <c r="G11" i="9"/>
  <c r="G58" i="9" s="1"/>
  <c r="H35" i="9"/>
  <c r="G35" i="9"/>
  <c r="G31" i="9"/>
  <c r="G64" i="9" s="1"/>
  <c r="H20" i="9"/>
  <c r="G19" i="9"/>
  <c r="S28" i="9"/>
  <c r="I9" i="15"/>
  <c r="O20" i="9"/>
  <c r="P36" i="9"/>
  <c r="O34" i="9"/>
  <c r="O31" i="9"/>
  <c r="O64" i="9" s="1"/>
  <c r="O32" i="9"/>
  <c r="O65" i="9" s="1"/>
  <c r="P33" i="9"/>
  <c r="L9" i="15"/>
  <c r="C9" i="15"/>
  <c r="E9" i="15"/>
  <c r="R10" i="9"/>
  <c r="Q10" i="9"/>
  <c r="R21" i="9"/>
  <c r="Q21" i="9"/>
  <c r="R9" i="9"/>
  <c r="Q9" i="9"/>
  <c r="Q23" i="9"/>
  <c r="Q61" i="9" s="1"/>
  <c r="R22" i="9"/>
  <c r="Q22" i="9"/>
  <c r="Q38" i="9"/>
  <c r="R44" i="9"/>
  <c r="Q44" i="9"/>
  <c r="M49" i="9"/>
  <c r="M10" i="9"/>
  <c r="M35" i="9"/>
  <c r="M51" i="9"/>
  <c r="M69" i="9" s="1"/>
  <c r="M11" i="9"/>
  <c r="M58" i="9" s="1"/>
  <c r="M38" i="9"/>
  <c r="N33" i="9"/>
  <c r="M32" i="9"/>
  <c r="M9" i="9"/>
  <c r="I31" i="9"/>
  <c r="I64" i="9" s="1"/>
  <c r="I8" i="9"/>
  <c r="I46" i="9"/>
  <c r="I49" i="9"/>
  <c r="J22" i="9"/>
  <c r="I22" i="9"/>
  <c r="I42" i="9"/>
  <c r="J50" i="9"/>
  <c r="I50" i="9"/>
  <c r="E51" i="9"/>
  <c r="L50" i="9"/>
  <c r="K50" i="9"/>
  <c r="J9" i="9"/>
  <c r="W48" i="9" l="1"/>
  <c r="W19" i="9"/>
  <c r="W42" i="9"/>
  <c r="W46" i="9"/>
  <c r="W47" i="9"/>
  <c r="M227" i="9"/>
  <c r="N6" i="15"/>
  <c r="W8" i="9"/>
  <c r="S24" i="9"/>
  <c r="S62" i="9" s="1"/>
  <c r="Q57" i="9"/>
  <c r="O52" i="9"/>
  <c r="W39" i="9"/>
  <c r="M224" i="9"/>
  <c r="Y14" i="9"/>
  <c r="S7" i="9"/>
  <c r="Y13" i="9"/>
  <c r="E52" i="9"/>
  <c r="L36" i="9"/>
  <c r="L20" i="9"/>
  <c r="G52" i="9"/>
  <c r="K65" i="9"/>
  <c r="K52" i="9"/>
  <c r="F41" i="9"/>
  <c r="L10" i="9"/>
  <c r="S22" i="9"/>
  <c r="W9" i="9"/>
  <c r="N7" i="15"/>
  <c r="J38" i="9"/>
  <c r="N8" i="15"/>
  <c r="Y30" i="9"/>
  <c r="Y27" i="9"/>
  <c r="Y28" i="9"/>
  <c r="Y15" i="9"/>
  <c r="Y17" i="9"/>
  <c r="I52" i="9"/>
  <c r="Y29" i="9"/>
  <c r="Q52" i="9"/>
  <c r="L37" i="9"/>
  <c r="K9" i="15"/>
  <c r="O57" i="9"/>
  <c r="Y25" i="9"/>
  <c r="N32" i="9"/>
  <c r="V32" i="9" s="1"/>
  <c r="F43" i="9"/>
  <c r="F42" i="9"/>
  <c r="M60" i="9"/>
  <c r="Y12" i="9"/>
  <c r="W49" i="9"/>
  <c r="M52" i="9"/>
  <c r="W33" i="9"/>
  <c r="Y18" i="9"/>
  <c r="J46" i="9"/>
  <c r="F37" i="9"/>
  <c r="R34" i="9"/>
  <c r="J45" i="9"/>
  <c r="S50" i="9"/>
  <c r="F34" i="9"/>
  <c r="W21" i="9"/>
  <c r="J41" i="9"/>
  <c r="P34" i="9"/>
  <c r="W35" i="9"/>
  <c r="J48" i="9"/>
  <c r="G57" i="9"/>
  <c r="J47" i="9"/>
  <c r="R33" i="9"/>
  <c r="R65" i="9" s="1"/>
  <c r="J44" i="9"/>
  <c r="R49" i="9"/>
  <c r="L38" i="9"/>
  <c r="F45" i="9"/>
  <c r="F46" i="9"/>
  <c r="P37" i="9"/>
  <c r="L34" i="9"/>
  <c r="L33" i="9"/>
  <c r="L65" i="9" s="1"/>
  <c r="S37" i="9"/>
  <c r="R35" i="9"/>
  <c r="F35" i="9"/>
  <c r="J42" i="9"/>
  <c r="J49" i="9"/>
  <c r="M65" i="9"/>
  <c r="N38" i="9"/>
  <c r="R38" i="9"/>
  <c r="I66" i="9"/>
  <c r="W50" i="9"/>
  <c r="W45" i="9"/>
  <c r="F39" i="9"/>
  <c r="F36" i="9"/>
  <c r="P32" i="9"/>
  <c r="P65" i="9" s="1"/>
  <c r="S20" i="9"/>
  <c r="W22" i="9"/>
  <c r="R8" i="9"/>
  <c r="S42" i="9"/>
  <c r="L35" i="9"/>
  <c r="S36" i="9"/>
  <c r="N19" i="9"/>
  <c r="R47" i="9"/>
  <c r="H7" i="9"/>
  <c r="S47" i="9"/>
  <c r="I57" i="9"/>
  <c r="R19" i="9"/>
  <c r="R60" i="9" s="1"/>
  <c r="R39" i="9"/>
  <c r="P38" i="9"/>
  <c r="W38" i="9"/>
  <c r="W36" i="9"/>
  <c r="W37" i="9"/>
  <c r="S26" i="9"/>
  <c r="S63" i="9" s="1"/>
  <c r="F50" i="9"/>
  <c r="R46" i="9"/>
  <c r="M9" i="15"/>
  <c r="G66" i="9"/>
  <c r="S10" i="9"/>
  <c r="W44" i="9"/>
  <c r="F33" i="9"/>
  <c r="F65" i="9" s="1"/>
  <c r="S35" i="9"/>
  <c r="W43" i="9"/>
  <c r="U9" i="9"/>
  <c r="L42" i="9"/>
  <c r="L44" i="9"/>
  <c r="R43" i="9"/>
  <c r="W20" i="9"/>
  <c r="W10" i="9"/>
  <c r="S44" i="9"/>
  <c r="J20" i="9"/>
  <c r="V20" i="9" s="1"/>
  <c r="D174" i="9" s="1"/>
  <c r="N22" i="9"/>
  <c r="W51" i="9"/>
  <c r="H9" i="9"/>
  <c r="S48" i="9"/>
  <c r="S11" i="9"/>
  <c r="S58" i="9" s="1"/>
  <c r="R45" i="9"/>
  <c r="S8" i="9"/>
  <c r="W32" i="9"/>
  <c r="L109" i="9"/>
  <c r="N219" i="9" s="1"/>
  <c r="M219" i="9"/>
  <c r="U39" i="9"/>
  <c r="Q60" i="9"/>
  <c r="S23" i="9"/>
  <c r="S61" i="9" s="1"/>
  <c r="U7" i="9"/>
  <c r="U45" i="9"/>
  <c r="U46" i="9"/>
  <c r="N46" i="9"/>
  <c r="N47" i="9"/>
  <c r="S40" i="9"/>
  <c r="S67" i="9" s="1"/>
  <c r="S31" i="9"/>
  <c r="S64" i="9" s="1"/>
  <c r="C70" i="9"/>
  <c r="S43" i="9"/>
  <c r="U38" i="9"/>
  <c r="E69" i="9"/>
  <c r="U51" i="9"/>
  <c r="U69" i="9" s="1"/>
  <c r="S45" i="9"/>
  <c r="O66" i="9"/>
  <c r="H43" i="9"/>
  <c r="S34" i="9"/>
  <c r="S32" i="9"/>
  <c r="W24" i="9"/>
  <c r="E65" i="9"/>
  <c r="U32" i="9"/>
  <c r="E68" i="9"/>
  <c r="U41" i="9"/>
  <c r="H46" i="9"/>
  <c r="L46" i="9"/>
  <c r="W23" i="9"/>
  <c r="F19" i="9"/>
  <c r="P22" i="9"/>
  <c r="L45" i="9"/>
  <c r="W31" i="9"/>
  <c r="W7" i="9"/>
  <c r="J8" i="9"/>
  <c r="N49" i="9"/>
  <c r="H19" i="9"/>
  <c r="H44" i="9"/>
  <c r="L6" i="9"/>
  <c r="L49" i="9"/>
  <c r="V9" i="9"/>
  <c r="D172" i="9" s="1"/>
  <c r="U49" i="9"/>
  <c r="S16" i="9"/>
  <c r="S59" i="9" s="1"/>
  <c r="W34" i="9"/>
  <c r="N50" i="9"/>
  <c r="J34" i="9"/>
  <c r="N43" i="9"/>
  <c r="N8" i="9"/>
  <c r="H37" i="9"/>
  <c r="H50" i="9"/>
  <c r="U44" i="9"/>
  <c r="U37" i="9"/>
  <c r="J35" i="9"/>
  <c r="J10" i="9"/>
  <c r="N21" i="9"/>
  <c r="P39" i="9"/>
  <c r="S46" i="9"/>
  <c r="H49" i="9"/>
  <c r="H39" i="9"/>
  <c r="L7" i="9"/>
  <c r="F22" i="9"/>
  <c r="S9" i="9"/>
  <c r="J37" i="9"/>
  <c r="N36" i="9"/>
  <c r="M57" i="9"/>
  <c r="S51" i="9"/>
  <c r="S69" i="9" s="1"/>
  <c r="P19" i="9"/>
  <c r="P21" i="9"/>
  <c r="P35" i="9"/>
  <c r="H38" i="9"/>
  <c r="H22" i="9"/>
  <c r="H42" i="9"/>
  <c r="L48" i="9"/>
  <c r="U19" i="9"/>
  <c r="E60" i="9"/>
  <c r="F47" i="9"/>
  <c r="M68" i="9"/>
  <c r="U50" i="9"/>
  <c r="W40" i="9"/>
  <c r="H47" i="9"/>
  <c r="L60" i="9"/>
  <c r="I65" i="9"/>
  <c r="J19" i="9"/>
  <c r="H36" i="9"/>
  <c r="H21" i="9"/>
  <c r="G68" i="9"/>
  <c r="H33" i="9"/>
  <c r="S49" i="9"/>
  <c r="U11" i="9"/>
  <c r="U58" i="9" s="1"/>
  <c r="E58" i="9"/>
  <c r="U10" i="9"/>
  <c r="K68" i="9"/>
  <c r="M66" i="9"/>
  <c r="L108" i="9"/>
  <c r="N218" i="9" s="1"/>
  <c r="M218" i="9"/>
  <c r="U26" i="9"/>
  <c r="U63" i="9" s="1"/>
  <c r="E63" i="9"/>
  <c r="U33" i="9"/>
  <c r="P6" i="9"/>
  <c r="N10" i="9"/>
  <c r="K57" i="9"/>
  <c r="U21" i="9"/>
  <c r="U20" i="9"/>
  <c r="J39" i="9"/>
  <c r="E67" i="9"/>
  <c r="U40" i="9"/>
  <c r="U67" i="9" s="1"/>
  <c r="J33" i="9"/>
  <c r="N44" i="9"/>
  <c r="H45" i="9"/>
  <c r="J7" i="9"/>
  <c r="N45" i="9"/>
  <c r="H48" i="9"/>
  <c r="N41" i="9"/>
  <c r="Q65" i="9"/>
  <c r="L47" i="9"/>
  <c r="U48" i="9"/>
  <c r="S6" i="9"/>
  <c r="S33" i="9"/>
  <c r="K60" i="9"/>
  <c r="S19" i="9"/>
  <c r="Q68" i="9"/>
  <c r="S41" i="9"/>
  <c r="K66" i="9"/>
  <c r="E57" i="9"/>
  <c r="U6" i="9"/>
  <c r="E62" i="9"/>
  <c r="U24" i="9"/>
  <c r="U62" i="9" s="1"/>
  <c r="E64" i="9"/>
  <c r="U31" i="9"/>
  <c r="U64" i="9" s="1"/>
  <c r="N42" i="9"/>
  <c r="N35" i="9"/>
  <c r="G60" i="9"/>
  <c r="F21" i="9"/>
  <c r="U43" i="9"/>
  <c r="W16" i="9"/>
  <c r="U42" i="9"/>
  <c r="S39" i="9"/>
  <c r="L41" i="9"/>
  <c r="S21" i="9"/>
  <c r="Q66" i="9"/>
  <c r="U22" i="9"/>
  <c r="U8" i="9"/>
  <c r="H8" i="9"/>
  <c r="N34" i="9"/>
  <c r="N48" i="9"/>
  <c r="N39" i="9"/>
  <c r="O60" i="9"/>
  <c r="W11" i="9"/>
  <c r="U47" i="9"/>
  <c r="E59" i="9"/>
  <c r="U16" i="9"/>
  <c r="U59" i="9" s="1"/>
  <c r="U36" i="9"/>
  <c r="U35" i="9"/>
  <c r="L113" i="9"/>
  <c r="N223" i="9" s="1"/>
  <c r="M223" i="9"/>
  <c r="L9" i="9"/>
  <c r="W26" i="9"/>
  <c r="R36" i="9"/>
  <c r="E66" i="9"/>
  <c r="U34" i="9"/>
  <c r="W6" i="9"/>
  <c r="I60" i="9"/>
  <c r="N7" i="9"/>
  <c r="R48" i="9"/>
  <c r="R50" i="9"/>
  <c r="R41" i="9"/>
  <c r="W41" i="9"/>
  <c r="U23" i="9"/>
  <c r="U61" i="9" s="1"/>
  <c r="E61" i="9"/>
  <c r="S38" i="9"/>
  <c r="I68" i="9"/>
  <c r="V37" i="9" l="1"/>
  <c r="D141" i="9" s="1"/>
  <c r="D31" i="9"/>
  <c r="D51" i="9"/>
  <c r="D40" i="9"/>
  <c r="Y48" i="9"/>
  <c r="V43" i="9"/>
  <c r="D147" i="9" s="1"/>
  <c r="Y47" i="9"/>
  <c r="L66" i="9"/>
  <c r="V42" i="9"/>
  <c r="D146" i="9" s="1"/>
  <c r="Y7" i="9"/>
  <c r="J68" i="9"/>
  <c r="Y8" i="9"/>
  <c r="Y20" i="9"/>
  <c r="Y50" i="9"/>
  <c r="Y42" i="9"/>
  <c r="Y10" i="9"/>
  <c r="Y19" i="9"/>
  <c r="Y39" i="9"/>
  <c r="Y46" i="9"/>
  <c r="Y33" i="9"/>
  <c r="W63" i="9"/>
  <c r="Y26" i="9"/>
  <c r="S60" i="9"/>
  <c r="W62" i="9"/>
  <c r="Y24" i="9"/>
  <c r="W69" i="9"/>
  <c r="Y51" i="9"/>
  <c r="W61" i="9"/>
  <c r="Y23" i="9"/>
  <c r="Y37" i="9"/>
  <c r="Y9" i="9"/>
  <c r="W68" i="9"/>
  <c r="Y41" i="9"/>
  <c r="W58" i="9"/>
  <c r="Y11" i="9"/>
  <c r="U52" i="9"/>
  <c r="S52" i="9"/>
  <c r="V10" i="9"/>
  <c r="D173" i="9" s="1"/>
  <c r="V8" i="9"/>
  <c r="D171" i="9" s="1"/>
  <c r="W65" i="9"/>
  <c r="Y32" i="9"/>
  <c r="Y38" i="9"/>
  <c r="Y45" i="9"/>
  <c r="V38" i="9"/>
  <c r="D183" i="9" s="1"/>
  <c r="Y35" i="9"/>
  <c r="F66" i="9"/>
  <c r="Y6" i="9"/>
  <c r="W52" i="9"/>
  <c r="P57" i="9"/>
  <c r="P52" i="9"/>
  <c r="Y34" i="9"/>
  <c r="W64" i="9"/>
  <c r="Y31" i="9"/>
  <c r="W59" i="9"/>
  <c r="Y16" i="9"/>
  <c r="W67" i="9"/>
  <c r="Y40" i="9"/>
  <c r="N60" i="9"/>
  <c r="L52" i="9"/>
  <c r="N65" i="9"/>
  <c r="Y43" i="9"/>
  <c r="Y44" i="9"/>
  <c r="Y36" i="9"/>
  <c r="Y22" i="9"/>
  <c r="W60" i="9"/>
  <c r="Y21" i="9"/>
  <c r="Y49" i="9"/>
  <c r="R66" i="9"/>
  <c r="Q70" i="9"/>
  <c r="V50" i="9"/>
  <c r="D154" i="9" s="1"/>
  <c r="S68" i="9"/>
  <c r="V45" i="9"/>
  <c r="D149" i="9" s="1"/>
  <c r="V33" i="9"/>
  <c r="D182" i="9" s="1"/>
  <c r="V47" i="9"/>
  <c r="D151" i="9" s="1"/>
  <c r="V49" i="9"/>
  <c r="D153" i="9" s="1"/>
  <c r="O70" i="9"/>
  <c r="V44" i="9"/>
  <c r="D148" i="9" s="1"/>
  <c r="V39" i="9"/>
  <c r="D184" i="9" s="1"/>
  <c r="N66" i="9"/>
  <c r="H68" i="9"/>
  <c r="J65" i="9"/>
  <c r="G70" i="9"/>
  <c r="V7" i="9"/>
  <c r="D170" i="9" s="1"/>
  <c r="J60" i="9"/>
  <c r="F68" i="9"/>
  <c r="V46" i="9"/>
  <c r="D150" i="9" s="1"/>
  <c r="R68" i="9"/>
  <c r="I70" i="9"/>
  <c r="V48" i="9"/>
  <c r="D152" i="9" s="1"/>
  <c r="V21" i="9"/>
  <c r="D135" i="9" s="1"/>
  <c r="U57" i="9"/>
  <c r="V41" i="9"/>
  <c r="D145" i="9" s="1"/>
  <c r="P66" i="9"/>
  <c r="W66" i="9"/>
  <c r="S66" i="9"/>
  <c r="S57" i="9"/>
  <c r="H60" i="9"/>
  <c r="E70" i="9"/>
  <c r="F6" i="9"/>
  <c r="F52" i="9" s="1"/>
  <c r="U66" i="9"/>
  <c r="L68" i="9"/>
  <c r="R6" i="9"/>
  <c r="N6" i="9"/>
  <c r="V35" i="9"/>
  <c r="D139" i="9" s="1"/>
  <c r="U60" i="9"/>
  <c r="V22" i="9"/>
  <c r="D175" i="9" s="1"/>
  <c r="U65" i="9"/>
  <c r="S65" i="9"/>
  <c r="H66" i="9"/>
  <c r="N68" i="9"/>
  <c r="J6" i="9"/>
  <c r="V36" i="9"/>
  <c r="D140" i="9" s="1"/>
  <c r="J66" i="9"/>
  <c r="W57" i="9"/>
  <c r="U68" i="9"/>
  <c r="H6" i="9"/>
  <c r="K70" i="9"/>
  <c r="V34" i="9"/>
  <c r="P60" i="9"/>
  <c r="M70" i="9"/>
  <c r="L57" i="9"/>
  <c r="V19" i="9"/>
  <c r="F60" i="9"/>
  <c r="D142" i="9"/>
  <c r="H65" i="9"/>
  <c r="J99" i="9" l="1"/>
  <c r="J225" i="9" s="1"/>
  <c r="L99" i="9"/>
  <c r="J115" i="9" s="1"/>
  <c r="L225" i="9" s="1"/>
  <c r="D13" i="9"/>
  <c r="D18" i="9"/>
  <c r="D29" i="9"/>
  <c r="D8" i="9"/>
  <c r="D9" i="9"/>
  <c r="D10" i="9"/>
  <c r="D7" i="9"/>
  <c r="D67" i="9"/>
  <c r="T40" i="9"/>
  <c r="X40" i="9"/>
  <c r="D22" i="9"/>
  <c r="D19" i="9"/>
  <c r="D21" i="9"/>
  <c r="D20" i="9"/>
  <c r="D69" i="9"/>
  <c r="X51" i="9"/>
  <c r="T51" i="9"/>
  <c r="D43" i="9"/>
  <c r="D49" i="9"/>
  <c r="D48" i="9"/>
  <c r="D42" i="9"/>
  <c r="D45" i="9"/>
  <c r="D47" i="9"/>
  <c r="D50" i="9"/>
  <c r="D44" i="9"/>
  <c r="D41" i="9"/>
  <c r="D46" i="9"/>
  <c r="D14" i="9"/>
  <c r="D32" i="9"/>
  <c r="D33" i="9"/>
  <c r="D12" i="9"/>
  <c r="D34" i="9"/>
  <c r="D38" i="9"/>
  <c r="D36" i="9"/>
  <c r="D35" i="9"/>
  <c r="D37" i="9"/>
  <c r="D39" i="9"/>
  <c r="D64" i="9"/>
  <c r="T31" i="9"/>
  <c r="X31" i="9"/>
  <c r="D16" i="9"/>
  <c r="D30" i="9"/>
  <c r="D15" i="9"/>
  <c r="D11" i="9"/>
  <c r="D24" i="9"/>
  <c r="D28" i="9"/>
  <c r="D17" i="9"/>
  <c r="D25" i="9"/>
  <c r="D26" i="9"/>
  <c r="D23" i="9"/>
  <c r="D27" i="9"/>
  <c r="I102" i="9"/>
  <c r="I228" i="9" s="1"/>
  <c r="H57" i="9"/>
  <c r="H70" i="9" s="1"/>
  <c r="H52" i="9"/>
  <c r="R57" i="9"/>
  <c r="R52" i="9"/>
  <c r="I99" i="9"/>
  <c r="U70" i="9"/>
  <c r="K99" i="9"/>
  <c r="K100" i="9"/>
  <c r="J57" i="9"/>
  <c r="J70" i="9" s="1"/>
  <c r="J52" i="9"/>
  <c r="N57" i="9"/>
  <c r="N52" i="9"/>
  <c r="Y52" i="9"/>
  <c r="V65" i="9"/>
  <c r="W70" i="9"/>
  <c r="D155" i="9"/>
  <c r="J102" i="9"/>
  <c r="J228" i="9" s="1"/>
  <c r="V68" i="9"/>
  <c r="N70" i="9"/>
  <c r="L102" i="9"/>
  <c r="I118" i="9" s="1"/>
  <c r="L70" i="9"/>
  <c r="K102" i="9"/>
  <c r="L100" i="9"/>
  <c r="J116" i="9" s="1"/>
  <c r="L226" i="9" s="1"/>
  <c r="J100" i="9"/>
  <c r="J226" i="9" s="1"/>
  <c r="R70" i="9"/>
  <c r="S70" i="9"/>
  <c r="K94" i="9"/>
  <c r="J94" i="9"/>
  <c r="J220" i="9" s="1"/>
  <c r="I94" i="9"/>
  <c r="L94" i="9"/>
  <c r="V6" i="9"/>
  <c r="V52" i="9" s="1"/>
  <c r="F57" i="9"/>
  <c r="D138" i="9"/>
  <c r="V66" i="9"/>
  <c r="P70" i="9"/>
  <c r="I100" i="9"/>
  <c r="D134" i="9"/>
  <c r="V60" i="9"/>
  <c r="S102" i="9" l="1"/>
  <c r="J118" i="9"/>
  <c r="L228" i="9" s="1"/>
  <c r="I115" i="9"/>
  <c r="Q102" i="9"/>
  <c r="K226" i="9"/>
  <c r="V100" i="9"/>
  <c r="H118" i="9"/>
  <c r="K118" i="9" s="1"/>
  <c r="M228" i="9" s="1"/>
  <c r="K228" i="9"/>
  <c r="V102" i="9"/>
  <c r="K225" i="9"/>
  <c r="V99" i="9"/>
  <c r="H115" i="9"/>
  <c r="V94" i="9"/>
  <c r="T27" i="9"/>
  <c r="C136" i="9" s="1"/>
  <c r="X27" i="9"/>
  <c r="D61" i="9"/>
  <c r="T23" i="9"/>
  <c r="X23" i="9"/>
  <c r="T17" i="9"/>
  <c r="X17" i="9"/>
  <c r="D62" i="9"/>
  <c r="X24" i="9"/>
  <c r="T24" i="9"/>
  <c r="X30" i="9"/>
  <c r="T30" i="9"/>
  <c r="C180" i="9" s="1"/>
  <c r="T39" i="9"/>
  <c r="C184" i="9" s="1"/>
  <c r="X39" i="9"/>
  <c r="T38" i="9"/>
  <c r="C183" i="9" s="1"/>
  <c r="X38" i="9"/>
  <c r="X33" i="9"/>
  <c r="T33" i="9"/>
  <c r="C182" i="9" s="1"/>
  <c r="T14" i="9"/>
  <c r="X14" i="9"/>
  <c r="T44" i="9"/>
  <c r="C148" i="9" s="1"/>
  <c r="X44" i="9"/>
  <c r="X42" i="9"/>
  <c r="T42" i="9"/>
  <c r="C146" i="9" s="1"/>
  <c r="T69" i="9"/>
  <c r="E87" i="9" s="1"/>
  <c r="C186" i="9"/>
  <c r="X21" i="9"/>
  <c r="T21" i="9"/>
  <c r="C135" i="9" s="1"/>
  <c r="C185" i="9"/>
  <c r="T67" i="9"/>
  <c r="E85" i="9" s="1"/>
  <c r="X9" i="9"/>
  <c r="T9" i="9"/>
  <c r="C172" i="9" s="1"/>
  <c r="C195" i="9" s="1"/>
  <c r="X26" i="9"/>
  <c r="T26" i="9"/>
  <c r="D63" i="9"/>
  <c r="X11" i="9"/>
  <c r="D58" i="9"/>
  <c r="T11" i="9"/>
  <c r="E98" i="9"/>
  <c r="D224" i="9" s="1"/>
  <c r="F98" i="9"/>
  <c r="D98" i="9"/>
  <c r="G98" i="9"/>
  <c r="F82" i="9"/>
  <c r="G82" i="9"/>
  <c r="H82" i="9"/>
  <c r="X36" i="9"/>
  <c r="T36" i="9"/>
  <c r="C140" i="9" s="1"/>
  <c r="D68" i="9"/>
  <c r="X41" i="9"/>
  <c r="T41" i="9"/>
  <c r="X45" i="9"/>
  <c r="T45" i="9"/>
  <c r="C149" i="9" s="1"/>
  <c r="T43" i="9"/>
  <c r="C147" i="9" s="1"/>
  <c r="X43" i="9"/>
  <c r="X20" i="9"/>
  <c r="T20" i="9"/>
  <c r="C174" i="9" s="1"/>
  <c r="X67" i="9"/>
  <c r="Z40" i="9"/>
  <c r="E185" i="9"/>
  <c r="D6" i="9"/>
  <c r="T13" i="9"/>
  <c r="X13" i="9"/>
  <c r="T25" i="9"/>
  <c r="X25" i="9"/>
  <c r="X28" i="9"/>
  <c r="T28" i="9"/>
  <c r="C137" i="9" s="1"/>
  <c r="T15" i="9"/>
  <c r="X15" i="9"/>
  <c r="X16" i="9"/>
  <c r="T16" i="9"/>
  <c r="D59" i="9"/>
  <c r="C181" i="9"/>
  <c r="T64" i="9"/>
  <c r="E82" i="9" s="1"/>
  <c r="T35" i="9"/>
  <c r="C139" i="9" s="1"/>
  <c r="X35" i="9"/>
  <c r="T12" i="9"/>
  <c r="X12" i="9"/>
  <c r="X46" i="9"/>
  <c r="T46" i="9"/>
  <c r="C150" i="9" s="1"/>
  <c r="X47" i="9"/>
  <c r="T47" i="9"/>
  <c r="C151" i="9" s="1"/>
  <c r="X49" i="9"/>
  <c r="T49" i="9"/>
  <c r="C153" i="9" s="1"/>
  <c r="E103" i="9"/>
  <c r="D229" i="9" s="1"/>
  <c r="F87" i="9"/>
  <c r="F103" i="9"/>
  <c r="D103" i="9"/>
  <c r="G87" i="9"/>
  <c r="H87" i="9"/>
  <c r="G103" i="9"/>
  <c r="T22" i="9"/>
  <c r="C175" i="9" s="1"/>
  <c r="X22" i="9"/>
  <c r="X10" i="9"/>
  <c r="T10" i="9"/>
  <c r="C173" i="9" s="1"/>
  <c r="C196" i="9" s="1"/>
  <c r="X64" i="9"/>
  <c r="E181" i="9"/>
  <c r="Z31" i="9"/>
  <c r="T37" i="9"/>
  <c r="C141" i="9" s="1"/>
  <c r="X37" i="9"/>
  <c r="D66" i="9"/>
  <c r="T34" i="9"/>
  <c r="X34" i="9"/>
  <c r="D65" i="9"/>
  <c r="X32" i="9"/>
  <c r="T32" i="9"/>
  <c r="X50" i="9"/>
  <c r="T50" i="9"/>
  <c r="C154" i="9" s="1"/>
  <c r="X48" i="9"/>
  <c r="T48" i="9"/>
  <c r="C152" i="9" s="1"/>
  <c r="E186" i="9"/>
  <c r="Z51" i="9"/>
  <c r="X69" i="9"/>
  <c r="D60" i="9"/>
  <c r="T19" i="9"/>
  <c r="X19" i="9"/>
  <c r="G101" i="9"/>
  <c r="G85" i="9"/>
  <c r="F101" i="9"/>
  <c r="D101" i="9"/>
  <c r="F85" i="9"/>
  <c r="H85" i="9"/>
  <c r="E101" i="9"/>
  <c r="D227" i="9" s="1"/>
  <c r="X7" i="9"/>
  <c r="T7" i="9"/>
  <c r="C170" i="9" s="1"/>
  <c r="C193" i="9" s="1"/>
  <c r="X8" i="9"/>
  <c r="T8" i="9"/>
  <c r="C171" i="9" s="1"/>
  <c r="C194" i="9" s="1"/>
  <c r="X29" i="9"/>
  <c r="T29" i="9"/>
  <c r="C179" i="9" s="1"/>
  <c r="X18" i="9"/>
  <c r="T18" i="9"/>
  <c r="P102" i="9"/>
  <c r="M102" i="9"/>
  <c r="D143" i="9"/>
  <c r="D156" i="9" s="1"/>
  <c r="Q99" i="9"/>
  <c r="S99" i="9"/>
  <c r="P99" i="9"/>
  <c r="M99" i="9"/>
  <c r="I225" i="9"/>
  <c r="M94" i="9"/>
  <c r="J110" i="9"/>
  <c r="L220" i="9" s="1"/>
  <c r="I226" i="9"/>
  <c r="S100" i="9"/>
  <c r="I116" i="9"/>
  <c r="H116" i="9"/>
  <c r="P100" i="9"/>
  <c r="S94" i="9"/>
  <c r="P94" i="9"/>
  <c r="I220" i="9"/>
  <c r="H110" i="9"/>
  <c r="I110" i="9"/>
  <c r="I91" i="9"/>
  <c r="F70" i="9"/>
  <c r="A57" i="9"/>
  <c r="J91" i="9"/>
  <c r="J217" i="9" s="1"/>
  <c r="L91" i="9"/>
  <c r="K91" i="9"/>
  <c r="M100" i="9"/>
  <c r="V57" i="9"/>
  <c r="V70" i="9" s="1"/>
  <c r="D169" i="9"/>
  <c r="D187" i="9" s="1"/>
  <c r="K220" i="9"/>
  <c r="Q94" i="9"/>
  <c r="Q100" i="9"/>
  <c r="Q91" i="9" l="1"/>
  <c r="S91" i="9"/>
  <c r="P91" i="9"/>
  <c r="K115" i="9"/>
  <c r="M225" i="9" s="1"/>
  <c r="V91" i="9"/>
  <c r="H101" i="9"/>
  <c r="E117" i="9"/>
  <c r="F227" i="9" s="1"/>
  <c r="E152" i="9"/>
  <c r="Z48" i="9"/>
  <c r="E142" i="9"/>
  <c r="X65" i="9"/>
  <c r="Z32" i="9"/>
  <c r="H84" i="9"/>
  <c r="E100" i="9"/>
  <c r="D226" i="9" s="1"/>
  <c r="F100" i="9"/>
  <c r="D100" i="9"/>
  <c r="F84" i="9"/>
  <c r="G100" i="9"/>
  <c r="G84" i="9"/>
  <c r="Z22" i="9"/>
  <c r="E175" i="9"/>
  <c r="E151" i="9"/>
  <c r="Z47" i="9"/>
  <c r="Z35" i="9"/>
  <c r="E139" i="9"/>
  <c r="E93" i="9"/>
  <c r="D219" i="9" s="1"/>
  <c r="F77" i="9"/>
  <c r="F93" i="9"/>
  <c r="D93" i="9"/>
  <c r="H77" i="9"/>
  <c r="G93" i="9"/>
  <c r="G77" i="9"/>
  <c r="C130" i="9"/>
  <c r="C202" i="9"/>
  <c r="C177" i="9"/>
  <c r="C207" i="9"/>
  <c r="Z68" i="9"/>
  <c r="D102" i="9"/>
  <c r="G102" i="9"/>
  <c r="F86" i="9"/>
  <c r="H86" i="9"/>
  <c r="E102" i="9"/>
  <c r="D228" i="9" s="1"/>
  <c r="G86" i="9"/>
  <c r="A68" i="9"/>
  <c r="F102" i="9"/>
  <c r="P82" i="9"/>
  <c r="R82" i="9"/>
  <c r="E224" i="9"/>
  <c r="O98" i="9"/>
  <c r="U98" i="9"/>
  <c r="Z11" i="9"/>
  <c r="E129" i="9"/>
  <c r="X58" i="9"/>
  <c r="P87" i="9"/>
  <c r="K87" i="9"/>
  <c r="S87" i="9"/>
  <c r="Q87" i="9"/>
  <c r="J87" i="9"/>
  <c r="O87" i="9"/>
  <c r="E182" i="9"/>
  <c r="Z33" i="9"/>
  <c r="E176" i="9"/>
  <c r="Z24" i="9"/>
  <c r="X62" i="9"/>
  <c r="Z23" i="9"/>
  <c r="E144" i="9"/>
  <c r="X61" i="9"/>
  <c r="R87" i="9"/>
  <c r="Z18" i="9"/>
  <c r="E133" i="9"/>
  <c r="E171" i="9"/>
  <c r="Z8" i="9"/>
  <c r="L85" i="9"/>
  <c r="I85" i="9"/>
  <c r="P85" i="9"/>
  <c r="R85" i="9"/>
  <c r="G94" i="9"/>
  <c r="F78" i="9"/>
  <c r="H78" i="9"/>
  <c r="G78" i="9"/>
  <c r="E94" i="9"/>
  <c r="D220" i="9" s="1"/>
  <c r="D94" i="9"/>
  <c r="F94" i="9"/>
  <c r="C142" i="9"/>
  <c r="C161" i="9" s="1"/>
  <c r="T65" i="9"/>
  <c r="E83" i="9" s="1"/>
  <c r="C138" i="9"/>
  <c r="T66" i="9"/>
  <c r="E84" i="9" s="1"/>
  <c r="E173" i="9"/>
  <c r="Z10" i="9"/>
  <c r="L87" i="9"/>
  <c r="I87" i="9"/>
  <c r="C199" i="9"/>
  <c r="C126" i="9"/>
  <c r="Z15" i="9"/>
  <c r="E130" i="9"/>
  <c r="Z25" i="9"/>
  <c r="E177" i="9"/>
  <c r="D52" i="9"/>
  <c r="D57" i="9"/>
  <c r="X6" i="9"/>
  <c r="T6" i="9"/>
  <c r="E145" i="9"/>
  <c r="Z41" i="9"/>
  <c r="X68" i="9"/>
  <c r="L82" i="9"/>
  <c r="I82" i="9"/>
  <c r="T98" i="9"/>
  <c r="R98" i="9"/>
  <c r="D114" i="9"/>
  <c r="C224" i="9"/>
  <c r="C114" i="9"/>
  <c r="N98" i="9"/>
  <c r="G76" i="9"/>
  <c r="F76" i="9"/>
  <c r="H76" i="9"/>
  <c r="G92" i="9"/>
  <c r="E92" i="9"/>
  <c r="D218" i="9" s="1"/>
  <c r="D92" i="9"/>
  <c r="F92" i="9"/>
  <c r="E178" i="9"/>
  <c r="X63" i="9"/>
  <c r="Z26" i="9"/>
  <c r="O85" i="9"/>
  <c r="Q85" i="9"/>
  <c r="S85" i="9"/>
  <c r="K85" i="9"/>
  <c r="J85" i="9"/>
  <c r="E148" i="9"/>
  <c r="Z44" i="9"/>
  <c r="Z39" i="9"/>
  <c r="E184" i="9"/>
  <c r="C176" i="9"/>
  <c r="T62" i="9"/>
  <c r="E80" i="9" s="1"/>
  <c r="C206" i="9"/>
  <c r="C204" i="9"/>
  <c r="C132" i="9"/>
  <c r="E136" i="9"/>
  <c r="Z27" i="9"/>
  <c r="C205" i="9"/>
  <c r="C133" i="9"/>
  <c r="E227" i="9"/>
  <c r="U101" i="9"/>
  <c r="O101" i="9"/>
  <c r="T60" i="9"/>
  <c r="E78" i="9" s="1"/>
  <c r="C134" i="9"/>
  <c r="E154" i="9"/>
  <c r="Z50" i="9"/>
  <c r="E138" i="9"/>
  <c r="Z34" i="9"/>
  <c r="X66" i="9"/>
  <c r="E119" i="9"/>
  <c r="F229" i="9" s="1"/>
  <c r="H103" i="9"/>
  <c r="U103" i="9"/>
  <c r="O103" i="9"/>
  <c r="E229" i="9"/>
  <c r="Z49" i="9"/>
  <c r="E153" i="9"/>
  <c r="Z46" i="9"/>
  <c r="E150" i="9"/>
  <c r="Z12" i="9"/>
  <c r="E126" i="9"/>
  <c r="O82" i="9"/>
  <c r="Q82" i="9"/>
  <c r="S82" i="9"/>
  <c r="K82" i="9"/>
  <c r="J82" i="9"/>
  <c r="X59" i="9"/>
  <c r="Z16" i="9"/>
  <c r="E131" i="9"/>
  <c r="Z28" i="9"/>
  <c r="E137" i="9"/>
  <c r="C127" i="9"/>
  <c r="C200" i="9"/>
  <c r="Z43" i="9"/>
  <c r="E147" i="9"/>
  <c r="T68" i="9"/>
  <c r="E86" i="9" s="1"/>
  <c r="C145" i="9"/>
  <c r="C163" i="9" s="1"/>
  <c r="E140" i="9"/>
  <c r="Z36" i="9"/>
  <c r="E114" i="9"/>
  <c r="F224" i="9" s="1"/>
  <c r="H98" i="9"/>
  <c r="C198" i="9"/>
  <c r="C129" i="9"/>
  <c r="T58" i="9"/>
  <c r="E76" i="9" s="1"/>
  <c r="T63" i="9"/>
  <c r="E81" i="9" s="1"/>
  <c r="C178" i="9"/>
  <c r="E172" i="9"/>
  <c r="Z9" i="9"/>
  <c r="Z21" i="9"/>
  <c r="E135" i="9"/>
  <c r="E146" i="9"/>
  <c r="Z42" i="9"/>
  <c r="C201" i="9"/>
  <c r="C128" i="9"/>
  <c r="E180" i="9"/>
  <c r="Z30" i="9"/>
  <c r="Z17" i="9"/>
  <c r="E132" i="9"/>
  <c r="G79" i="9"/>
  <c r="H79" i="9"/>
  <c r="G95" i="9"/>
  <c r="E95" i="9"/>
  <c r="D221" i="9" s="1"/>
  <c r="F79" i="9"/>
  <c r="F95" i="9"/>
  <c r="D95" i="9"/>
  <c r="Z29" i="9"/>
  <c r="E179" i="9"/>
  <c r="E170" i="9"/>
  <c r="Z7" i="9"/>
  <c r="T101" i="9"/>
  <c r="R101" i="9"/>
  <c r="C117" i="9"/>
  <c r="C227" i="9"/>
  <c r="D117" i="9"/>
  <c r="N101" i="9"/>
  <c r="Z19" i="9"/>
  <c r="X60" i="9"/>
  <c r="E134" i="9"/>
  <c r="F99" i="9"/>
  <c r="G83" i="9"/>
  <c r="D99" i="9"/>
  <c r="E99" i="9"/>
  <c r="D225" i="9" s="1"/>
  <c r="F83" i="9"/>
  <c r="H83" i="9"/>
  <c r="G99" i="9"/>
  <c r="E141" i="9"/>
  <c r="Z37" i="9"/>
  <c r="R103" i="9"/>
  <c r="T103" i="9"/>
  <c r="C229" i="9"/>
  <c r="D119" i="9"/>
  <c r="N103" i="9"/>
  <c r="C119" i="9"/>
  <c r="C203" i="9"/>
  <c r="C131" i="9"/>
  <c r="T59" i="9"/>
  <c r="E77" i="9" s="1"/>
  <c r="Z13" i="9"/>
  <c r="E127" i="9"/>
  <c r="E174" i="9"/>
  <c r="Z20" i="9"/>
  <c r="E149" i="9"/>
  <c r="Z45" i="9"/>
  <c r="E97" i="9"/>
  <c r="D223" i="9" s="1"/>
  <c r="G81" i="9"/>
  <c r="F97" i="9"/>
  <c r="G97" i="9"/>
  <c r="D97" i="9"/>
  <c r="H81" i="9"/>
  <c r="F81" i="9"/>
  <c r="Z14" i="9"/>
  <c r="E128" i="9"/>
  <c r="Z38" i="9"/>
  <c r="E183" i="9"/>
  <c r="F96" i="9"/>
  <c r="F80" i="9"/>
  <c r="H80" i="9"/>
  <c r="E96" i="9"/>
  <c r="D222" i="9" s="1"/>
  <c r="G96" i="9"/>
  <c r="G80" i="9"/>
  <c r="D96" i="9"/>
  <c r="C144" i="9"/>
  <c r="T61" i="9"/>
  <c r="E79" i="9" s="1"/>
  <c r="D188" i="9"/>
  <c r="L118" i="9"/>
  <c r="N228" i="9" s="1"/>
  <c r="K217" i="9"/>
  <c r="K110" i="9"/>
  <c r="M91" i="9"/>
  <c r="J107" i="9"/>
  <c r="L217" i="9" s="1"/>
  <c r="K116" i="9"/>
  <c r="I107" i="9"/>
  <c r="I217" i="9"/>
  <c r="H107" i="9"/>
  <c r="L115" i="9" l="1"/>
  <c r="N225" i="9" s="1"/>
  <c r="F117" i="9"/>
  <c r="G227" i="9" s="1"/>
  <c r="M85" i="9"/>
  <c r="N85" i="9" s="1"/>
  <c r="R83" i="9"/>
  <c r="F114" i="9"/>
  <c r="G114" i="9" s="1"/>
  <c r="H224" i="9" s="1"/>
  <c r="U99" i="9"/>
  <c r="E225" i="9"/>
  <c r="O99" i="9"/>
  <c r="P79" i="9"/>
  <c r="R79" i="9"/>
  <c r="I76" i="9"/>
  <c r="L76" i="9"/>
  <c r="F91" i="9"/>
  <c r="D70" i="9"/>
  <c r="E91" i="9"/>
  <c r="D217" i="9" s="1"/>
  <c r="G91" i="9"/>
  <c r="F75" i="9"/>
  <c r="D91" i="9"/>
  <c r="G75" i="9"/>
  <c r="H75" i="9"/>
  <c r="L75" i="9" s="1"/>
  <c r="J84" i="9"/>
  <c r="S84" i="9"/>
  <c r="O84" i="9"/>
  <c r="K84" i="9"/>
  <c r="Q84" i="9"/>
  <c r="E109" i="9"/>
  <c r="F219" i="9" s="1"/>
  <c r="H93" i="9"/>
  <c r="L80" i="9"/>
  <c r="I80" i="9"/>
  <c r="U97" i="9"/>
  <c r="O97" i="9"/>
  <c r="E223" i="9"/>
  <c r="E115" i="9"/>
  <c r="F225" i="9" s="1"/>
  <c r="H99" i="9"/>
  <c r="K79" i="9"/>
  <c r="Q79" i="9"/>
  <c r="J79" i="9"/>
  <c r="S79" i="9"/>
  <c r="O79" i="9"/>
  <c r="H96" i="9"/>
  <c r="E112" i="9"/>
  <c r="F222" i="9" s="1"/>
  <c r="U96" i="9"/>
  <c r="O96" i="9"/>
  <c r="E222" i="9"/>
  <c r="E113" i="9"/>
  <c r="F223" i="9" s="1"/>
  <c r="H97" i="9"/>
  <c r="T92" i="9"/>
  <c r="N92" i="9"/>
  <c r="R92" i="9"/>
  <c r="C218" i="9"/>
  <c r="D108" i="9"/>
  <c r="C108" i="9"/>
  <c r="T94" i="9"/>
  <c r="R94" i="9"/>
  <c r="C110" i="9"/>
  <c r="D110" i="9"/>
  <c r="N94" i="9"/>
  <c r="C220" i="9"/>
  <c r="T102" i="9"/>
  <c r="R102" i="9"/>
  <c r="C118" i="9"/>
  <c r="N102" i="9"/>
  <c r="D118" i="9"/>
  <c r="C228" i="9"/>
  <c r="L77" i="9"/>
  <c r="I77" i="9"/>
  <c r="E116" i="9"/>
  <c r="F226" i="9" s="1"/>
  <c r="H100" i="9"/>
  <c r="F119" i="9"/>
  <c r="M82" i="9"/>
  <c r="N82" i="9" s="1"/>
  <c r="E155" i="9"/>
  <c r="M87" i="9"/>
  <c r="N87" i="9" s="1"/>
  <c r="R80" i="9"/>
  <c r="P80" i="9"/>
  <c r="T97" i="9"/>
  <c r="R97" i="9"/>
  <c r="C223" i="9"/>
  <c r="N97" i="9"/>
  <c r="D113" i="9"/>
  <c r="C113" i="9"/>
  <c r="O92" i="9"/>
  <c r="U92" i="9"/>
  <c r="E218" i="9"/>
  <c r="I78" i="9"/>
  <c r="L78" i="9"/>
  <c r="E118" i="9"/>
  <c r="F228" i="9" s="1"/>
  <c r="H102" i="9"/>
  <c r="R84" i="9"/>
  <c r="P84" i="9"/>
  <c r="U100" i="9"/>
  <c r="E226" i="9"/>
  <c r="O100" i="9"/>
  <c r="T96" i="9"/>
  <c r="D112" i="9"/>
  <c r="R96" i="9"/>
  <c r="C112" i="9"/>
  <c r="C222" i="9"/>
  <c r="N96" i="9"/>
  <c r="P81" i="9"/>
  <c r="R81" i="9"/>
  <c r="I83" i="9"/>
  <c r="L83" i="9"/>
  <c r="U95" i="9"/>
  <c r="E221" i="9"/>
  <c r="O95" i="9"/>
  <c r="I79" i="9"/>
  <c r="L79" i="9"/>
  <c r="S76" i="9"/>
  <c r="J76" i="9"/>
  <c r="Q76" i="9"/>
  <c r="K76" i="9"/>
  <c r="O76" i="9"/>
  <c r="O86" i="9"/>
  <c r="Q86" i="9"/>
  <c r="J86" i="9"/>
  <c r="S86" i="9"/>
  <c r="K86" i="9"/>
  <c r="J78" i="9"/>
  <c r="Q78" i="9"/>
  <c r="K78" i="9"/>
  <c r="O78" i="9"/>
  <c r="S78" i="9"/>
  <c r="H92" i="9"/>
  <c r="E108" i="9"/>
  <c r="F218" i="9" s="1"/>
  <c r="X57" i="9"/>
  <c r="X70" i="9" s="1"/>
  <c r="Z6" i="9"/>
  <c r="Z52" i="9" s="1"/>
  <c r="E169" i="9"/>
  <c r="E187" i="9" s="1"/>
  <c r="X52" i="9"/>
  <c r="P78" i="9"/>
  <c r="R78" i="9"/>
  <c r="P77" i="9"/>
  <c r="R77" i="9"/>
  <c r="O93" i="9"/>
  <c r="U93" i="9"/>
  <c r="E219" i="9"/>
  <c r="T100" i="9"/>
  <c r="C226" i="9"/>
  <c r="D116" i="9"/>
  <c r="C116" i="9"/>
  <c r="N100" i="9"/>
  <c r="R100" i="9"/>
  <c r="U94" i="9"/>
  <c r="O94" i="9"/>
  <c r="E220" i="9"/>
  <c r="P86" i="9"/>
  <c r="R86" i="9"/>
  <c r="I81" i="9"/>
  <c r="L81" i="9"/>
  <c r="S77" i="9"/>
  <c r="O77" i="9"/>
  <c r="K77" i="9"/>
  <c r="J77" i="9"/>
  <c r="Q77" i="9"/>
  <c r="C162" i="9"/>
  <c r="C155" i="9"/>
  <c r="T99" i="9"/>
  <c r="N99" i="9"/>
  <c r="C225" i="9"/>
  <c r="R99" i="9"/>
  <c r="D115" i="9"/>
  <c r="C115" i="9"/>
  <c r="T95" i="9"/>
  <c r="R95" i="9"/>
  <c r="C221" i="9"/>
  <c r="N95" i="9"/>
  <c r="C111" i="9"/>
  <c r="D111" i="9"/>
  <c r="H95" i="9"/>
  <c r="E111" i="9"/>
  <c r="F221" i="9" s="1"/>
  <c r="K81" i="9"/>
  <c r="Q81" i="9"/>
  <c r="S81" i="9"/>
  <c r="O81" i="9"/>
  <c r="J81" i="9"/>
  <c r="S80" i="9"/>
  <c r="J80" i="9"/>
  <c r="K80" i="9"/>
  <c r="Q80" i="9"/>
  <c r="O80" i="9"/>
  <c r="P76" i="9"/>
  <c r="R76" i="9"/>
  <c r="T57" i="9"/>
  <c r="T52" i="9"/>
  <c r="C169" i="9"/>
  <c r="P83" i="9"/>
  <c r="S83" i="9"/>
  <c r="K83" i="9"/>
  <c r="Q83" i="9"/>
  <c r="J83" i="9"/>
  <c r="O83" i="9"/>
  <c r="H94" i="9"/>
  <c r="E110" i="9"/>
  <c r="F220" i="9" s="1"/>
  <c r="U102" i="9"/>
  <c r="O102" i="9"/>
  <c r="E228" i="9"/>
  <c r="L86" i="9"/>
  <c r="I86" i="9"/>
  <c r="T93" i="9"/>
  <c r="D109" i="9"/>
  <c r="C219" i="9"/>
  <c r="R93" i="9"/>
  <c r="N93" i="9"/>
  <c r="C109" i="9"/>
  <c r="F109" i="9" s="1"/>
  <c r="L84" i="9"/>
  <c r="I84" i="9"/>
  <c r="E143" i="9"/>
  <c r="C143" i="9"/>
  <c r="M226" i="9"/>
  <c r="L116" i="9"/>
  <c r="N226" i="9" s="1"/>
  <c r="K107" i="9"/>
  <c r="L110" i="9"/>
  <c r="N220" i="9" s="1"/>
  <c r="M220" i="9"/>
  <c r="R75" i="9" l="1"/>
  <c r="M81" i="9"/>
  <c r="N81" i="9" s="1"/>
  <c r="G224" i="9"/>
  <c r="G117" i="9"/>
  <c r="H227" i="9" s="1"/>
  <c r="M80" i="9"/>
  <c r="N80" i="9" s="1"/>
  <c r="M77" i="9"/>
  <c r="N77" i="9" s="1"/>
  <c r="M78" i="9"/>
  <c r="N78" i="9" s="1"/>
  <c r="F112" i="9"/>
  <c r="G112" i="9" s="1"/>
  <c r="H222" i="9" s="1"/>
  <c r="E156" i="9"/>
  <c r="E188" i="9" s="1"/>
  <c r="M83" i="9"/>
  <c r="N83" i="9" s="1"/>
  <c r="F113" i="9"/>
  <c r="G223" i="9" s="1"/>
  <c r="F108" i="9"/>
  <c r="G218" i="9" s="1"/>
  <c r="M86" i="9"/>
  <c r="N86" i="9" s="1"/>
  <c r="F118" i="9"/>
  <c r="M79" i="9"/>
  <c r="N79" i="9" s="1"/>
  <c r="T70" i="9"/>
  <c r="E75" i="9"/>
  <c r="O75" i="9" s="1"/>
  <c r="O91" i="9"/>
  <c r="N91" i="9"/>
  <c r="R91" i="9"/>
  <c r="D107" i="9"/>
  <c r="C217" i="9"/>
  <c r="T91" i="9"/>
  <c r="C107" i="9"/>
  <c r="F111" i="9"/>
  <c r="C156" i="9"/>
  <c r="C158" i="9" s="1"/>
  <c r="C160" i="9"/>
  <c r="G219" i="9"/>
  <c r="G109" i="9"/>
  <c r="H219" i="9" s="1"/>
  <c r="M76" i="9"/>
  <c r="N76" i="9" s="1"/>
  <c r="F110" i="9"/>
  <c r="C187" i="9"/>
  <c r="C192" i="9"/>
  <c r="E107" i="9"/>
  <c r="F217" i="9" s="1"/>
  <c r="H91" i="9"/>
  <c r="G229" i="9"/>
  <c r="G119" i="9"/>
  <c r="H229" i="9" s="1"/>
  <c r="U91" i="9"/>
  <c r="E217" i="9"/>
  <c r="F115" i="9"/>
  <c r="F116" i="9"/>
  <c r="M84" i="9"/>
  <c r="N84" i="9" s="1"/>
  <c r="M217" i="9"/>
  <c r="L107" i="9"/>
  <c r="N217" i="9" s="1"/>
  <c r="P75" i="9" l="1"/>
  <c r="G108" i="9"/>
  <c r="H218" i="9" s="1"/>
  <c r="G222" i="9"/>
  <c r="G113" i="9"/>
  <c r="H223" i="9" s="1"/>
  <c r="F107" i="9"/>
  <c r="G228" i="9"/>
  <c r="G118" i="9"/>
  <c r="H228" i="9" s="1"/>
  <c r="D192" i="9"/>
  <c r="F192" i="9"/>
  <c r="E192" i="9"/>
  <c r="C208" i="9"/>
  <c r="G115" i="9"/>
  <c r="H225" i="9" s="1"/>
  <c r="G225" i="9"/>
  <c r="G116" i="9"/>
  <c r="H226" i="9" s="1"/>
  <c r="G226" i="9"/>
  <c r="G111" i="9"/>
  <c r="H221" i="9" s="1"/>
  <c r="G221" i="9"/>
  <c r="I75" i="9"/>
  <c r="S75" i="9"/>
  <c r="K75" i="9"/>
  <c r="J75" i="9"/>
  <c r="Q75" i="9"/>
  <c r="C188" i="9"/>
  <c r="G220" i="9"/>
  <c r="G110" i="9"/>
  <c r="H220" i="9" s="1"/>
  <c r="G217" i="9" l="1"/>
  <c r="G107" i="9"/>
  <c r="H217" i="9" s="1"/>
  <c r="M75" i="9"/>
  <c r="N75" i="9" s="1"/>
</calcChain>
</file>

<file path=xl/comments1.xml><?xml version="1.0" encoding="utf-8"?>
<comments xmlns="http://schemas.openxmlformats.org/spreadsheetml/2006/main">
  <authors>
    <author>Mélanie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attention pour les putrescibles et les métaux et déchets dangereux : règle de 3 avec fraction humide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attention pour les putrescibles et les métaux et déchets dangereux : règle de 3 avec fraction humide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attention pour les putrescibles et les métaux et déchets dangereux : règle de 3 avec fraction humide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attention pour les putrescibles et les métaux et déchets dangereux : règle de 3 avec fraction humide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attention pour les putrescibles et les métaux et déchets dangereux : règle de 3 avec fraction humide</t>
        </r>
      </text>
    </comment>
    <comment ref="N4" authorId="0" shape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attention pour les putrescibles et les métaux et déchets dangereux : règle de 3 avec fraction humide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attention pour les putrescibles et les métaux et déchets dangereux : règle de 3 avec fraction humide</t>
        </r>
      </text>
    </comment>
    <comment ref="R4" authorId="0" shapeId="0">
      <text>
        <r>
          <rPr>
            <b/>
            <sz val="9"/>
            <color indexed="81"/>
            <rFont val="Tahoma"/>
            <family val="2"/>
          </rPr>
          <t>Mélanie:</t>
        </r>
        <r>
          <rPr>
            <sz val="9"/>
            <color indexed="81"/>
            <rFont val="Tahoma"/>
            <family val="2"/>
          </rPr>
          <t xml:space="preserve">
attention pour les putrescibles et les métaux et déchets dangereux : règle de 3 avec fraction humide</t>
        </r>
      </text>
    </comment>
  </commentList>
</comments>
</file>

<file path=xl/sharedStrings.xml><?xml version="1.0" encoding="utf-8"?>
<sst xmlns="http://schemas.openxmlformats.org/spreadsheetml/2006/main" count="1835" uniqueCount="302">
  <si>
    <t>Référence de l'échantillon</t>
  </si>
  <si>
    <t>Tournée échantillonnée:</t>
  </si>
  <si>
    <t>Site d'échantillonnage</t>
  </si>
  <si>
    <t>Météo</t>
  </si>
  <si>
    <t>Données sur l'échantillon</t>
  </si>
  <si>
    <t>Date échantillonnage</t>
  </si>
  <si>
    <t>Masse échantillon secondaire</t>
  </si>
  <si>
    <t>kg</t>
  </si>
  <si>
    <t>Heure prélèvement</t>
  </si>
  <si>
    <t>Volume échantillon secondaire</t>
  </si>
  <si>
    <t>m3</t>
  </si>
  <si>
    <t xml:space="preserve">Densité échantillon secondaire </t>
  </si>
  <si>
    <t>T/m3</t>
  </si>
  <si>
    <t>Humidité globale :</t>
  </si>
  <si>
    <t>Résultats du tri l'échantillon</t>
  </si>
  <si>
    <t>Poids sec (g)</t>
  </si>
  <si>
    <t>Poids sec % par sous-catégories</t>
  </si>
  <si>
    <t>Poids humide % par sous-catégories</t>
  </si>
  <si>
    <t>Poids sec % par catégorie</t>
  </si>
  <si>
    <t>Poids humide % par catégorie</t>
  </si>
  <si>
    <t>Catégories</t>
  </si>
  <si>
    <t>Sous-catégories</t>
  </si>
  <si>
    <t>20 à 100 mm</t>
  </si>
  <si>
    <t>100 - 350 mm</t>
  </si>
  <si>
    <t>&gt;350 mm</t>
  </si>
  <si>
    <t>Total</t>
  </si>
  <si>
    <t>Déchets putrescibles</t>
  </si>
  <si>
    <t>Produits alimentaires non consommés</t>
  </si>
  <si>
    <t>Autres putrescibles</t>
  </si>
  <si>
    <t>Déchets de jardins ligneux</t>
  </si>
  <si>
    <t>Déchets de jardins non ligneux</t>
  </si>
  <si>
    <t>Papiers</t>
  </si>
  <si>
    <t>Emballages papier</t>
  </si>
  <si>
    <t>Journaux, magazines et revues</t>
  </si>
  <si>
    <t>Imprimés publicitaires</t>
  </si>
  <si>
    <t>Papiers bureautiques</t>
  </si>
  <si>
    <t xml:space="preserve">Autres papiers </t>
  </si>
  <si>
    <t>Cartons</t>
  </si>
  <si>
    <t>Emballages cartons plats</t>
  </si>
  <si>
    <t>Emballages cartons ondulés</t>
  </si>
  <si>
    <t>Autres cartons</t>
  </si>
  <si>
    <t>Complexes/ Composites</t>
  </si>
  <si>
    <t>Composites ELA (Tetrapack)</t>
  </si>
  <si>
    <t>Autres emballages composites</t>
  </si>
  <si>
    <t>Petits Appareils Electroménagers (PAM)</t>
  </si>
  <si>
    <t>Textiles</t>
  </si>
  <si>
    <t xml:space="preserve">Textiles </t>
  </si>
  <si>
    <t>Textiles sanitaires</t>
  </si>
  <si>
    <t>Textiles sanitaires fraction hygiénique</t>
  </si>
  <si>
    <t>Textiles sanitaires fraction papiers souillés</t>
  </si>
  <si>
    <t>Plastiques</t>
  </si>
  <si>
    <t>Films polyoléfines (PE et PP)</t>
  </si>
  <si>
    <t xml:space="preserve">Bouteilles et flacons en PET </t>
  </si>
  <si>
    <t>Bouteilles et flacons en polyoléfine (PEHD)</t>
  </si>
  <si>
    <t>Autres emballages plastiques</t>
  </si>
  <si>
    <t>Autres plastiques</t>
  </si>
  <si>
    <t>Combustibles non classés</t>
  </si>
  <si>
    <t>Verre</t>
  </si>
  <si>
    <t>Emballages en verre incolores et de couleur</t>
  </si>
  <si>
    <t>Autres déchets en verre</t>
  </si>
  <si>
    <t>Métaux</t>
  </si>
  <si>
    <t>Emballages métaux ferreux hors aérosols</t>
  </si>
  <si>
    <t>Emballages aluminium hors aérosols</t>
  </si>
  <si>
    <t>Aérosols ferreux non dangereux</t>
  </si>
  <si>
    <t>Aérosols aluminium non dangereux</t>
  </si>
  <si>
    <t>Autres métaux ferreux</t>
  </si>
  <si>
    <t xml:space="preserve">Autres métaux </t>
  </si>
  <si>
    <t>Incombustibles non classés</t>
  </si>
  <si>
    <t xml:space="preserve">Emballages incombustibles </t>
  </si>
  <si>
    <t>Déchets ménagers spéciaux</t>
  </si>
  <si>
    <t>Tubes fluorescents et ampoules basse consommation</t>
  </si>
  <si>
    <t>Aérosols dangereux</t>
  </si>
  <si>
    <t>Piles et accumulateurs</t>
  </si>
  <si>
    <t>Autres déchets ménagers spéciaux</t>
  </si>
  <si>
    <t>Eléments fins &lt; 20 mm</t>
  </si>
  <si>
    <t>Répartition fractions granulométriques:</t>
  </si>
  <si>
    <t>Global</t>
  </si>
  <si>
    <t>Moy. Paris</t>
  </si>
  <si>
    <t>Moy. Banlieue</t>
  </si>
  <si>
    <t>Humidité globale</t>
  </si>
  <si>
    <t>sec</t>
  </si>
  <si>
    <t>humide</t>
  </si>
  <si>
    <t>Déchets Putrescibles</t>
  </si>
  <si>
    <t>Composites</t>
  </si>
  <si>
    <t>MODECOM 2007</t>
  </si>
  <si>
    <t>SYCTOM</t>
  </si>
  <si>
    <t>Moyenne</t>
  </si>
  <si>
    <t>Min</t>
  </si>
  <si>
    <t>Max</t>
  </si>
  <si>
    <t>Ecart-type absolu</t>
  </si>
  <si>
    <t>Ecart-type relatif</t>
  </si>
  <si>
    <t>Banlieue</t>
  </si>
  <si>
    <t>Paris</t>
  </si>
  <si>
    <t>Min.</t>
  </si>
  <si>
    <t>Max.</t>
  </si>
  <si>
    <t>Ecart-type</t>
  </si>
  <si>
    <t>OMR</t>
  </si>
  <si>
    <t>Potentiel minimum</t>
  </si>
  <si>
    <t>Potentiel intermédiaire</t>
  </si>
  <si>
    <t>Potentiel maximum</t>
  </si>
  <si>
    <t>moy modecom humide</t>
  </si>
  <si>
    <t>Sous-total autres déchets pouvant être orientés vers d'autres collecte</t>
  </si>
  <si>
    <t>Sous-total déchets visés par les consignes de tri (bac jaune ou bac et colonnes verre)</t>
  </si>
  <si>
    <t>UCL +</t>
  </si>
  <si>
    <t>UCL-</t>
  </si>
  <si>
    <t>UCL</t>
  </si>
  <si>
    <t>Chebyshev SYCTOM</t>
  </si>
  <si>
    <t xml:space="preserve">Poids sec % </t>
  </si>
  <si>
    <t xml:space="preserve">Poids humide % </t>
  </si>
  <si>
    <t>Combustibles</t>
  </si>
  <si>
    <t xml:space="preserve">Incombustibles </t>
  </si>
  <si>
    <t>combustibles</t>
  </si>
  <si>
    <t>incombustibles</t>
  </si>
  <si>
    <t>Erreur absolue</t>
  </si>
  <si>
    <t>Erreur relative</t>
  </si>
  <si>
    <t>banlieue</t>
  </si>
  <si>
    <t>paris</t>
  </si>
  <si>
    <t>écart MODECOM</t>
  </si>
  <si>
    <t>écart MODECOM banlieue</t>
  </si>
  <si>
    <t>Déchets alimentaires (non consommables)</t>
  </si>
  <si>
    <t>câbles électriques</t>
  </si>
  <si>
    <t>Produits diffus spécifiques</t>
  </si>
  <si>
    <t>Déchets d'activités de soins perforants</t>
  </si>
  <si>
    <t>Huiles minérales</t>
  </si>
  <si>
    <t>Cartouche d'impression</t>
  </si>
  <si>
    <t>Bouteille de gaz</t>
  </si>
  <si>
    <t>Médicaments non utilisés</t>
  </si>
  <si>
    <t>Combustibles NC</t>
  </si>
  <si>
    <t>Autres verre</t>
  </si>
  <si>
    <t>Incombustibles NC</t>
  </si>
  <si>
    <t>Câbles électriques</t>
  </si>
  <si>
    <t xml:space="preserve">Collecte sélective </t>
  </si>
  <si>
    <t>SYCTOM 2014</t>
  </si>
  <si>
    <t>écart paris banlieue</t>
  </si>
  <si>
    <t>intervalle banlieue</t>
  </si>
  <si>
    <t>intervalle paris</t>
  </si>
  <si>
    <t>SYCTOM printemps 2015</t>
  </si>
  <si>
    <t>Syctom P15</t>
  </si>
  <si>
    <t>Analyses des Déchets Initiaux 
Reconstitués du SYCTOM</t>
  </si>
  <si>
    <t>Fraction 0 à 350 mm</t>
  </si>
  <si>
    <t xml:space="preserve">Analyse </t>
  </si>
  <si>
    <t>Norme</t>
  </si>
  <si>
    <t>Unité</t>
  </si>
  <si>
    <t>ISS_P15
PB PAR</t>
  </si>
  <si>
    <t>ISS_P15 
PB BAN</t>
  </si>
  <si>
    <t>STO_P15 
PB PAR</t>
  </si>
  <si>
    <t>STO_P15 
PB BAN</t>
  </si>
  <si>
    <t>ROM_P15 PB PAR</t>
  </si>
  <si>
    <t>ROM_P15 PB BAN</t>
  </si>
  <si>
    <t>IV13_P15 
PB PAR</t>
  </si>
  <si>
    <t>IV13_P15 
PB BAN</t>
  </si>
  <si>
    <t>Moyenne ISSEANE</t>
  </si>
  <si>
    <t>Moyenne 
St OUEN</t>
  </si>
  <si>
    <t>Moyenne 
ROMAINVILLE</t>
  </si>
  <si>
    <t>Moyenne IVRY 13</t>
  </si>
  <si>
    <t>Moyenne PARIS</t>
  </si>
  <si>
    <t>Moyenne BANLIEUE</t>
  </si>
  <si>
    <t>Ref MODECOM</t>
  </si>
  <si>
    <t>+ 20%</t>
  </si>
  <si>
    <t>- 20%</t>
  </si>
  <si>
    <t>Matière organique</t>
  </si>
  <si>
    <t>Perte au feu 
à 545°C</t>
  </si>
  <si>
    <t>%</t>
  </si>
  <si>
    <t>Azote total</t>
  </si>
  <si>
    <t>NF EN 15 407</t>
  </si>
  <si>
    <t>Phosphore total</t>
  </si>
  <si>
    <t>NF EN 13 650</t>
  </si>
  <si>
    <t>mg/kg sec</t>
  </si>
  <si>
    <t>Potassium</t>
  </si>
  <si>
    <t>Carbone organique</t>
  </si>
  <si>
    <t>EN 13 137</t>
  </si>
  <si>
    <t>Azote organique</t>
  </si>
  <si>
    <t>Calcul</t>
  </si>
  <si>
    <t>Rapport C/N organique</t>
  </si>
  <si>
    <t>-</t>
  </si>
  <si>
    <t>Soufre</t>
  </si>
  <si>
    <t>NF EN 14 582</t>
  </si>
  <si>
    <t>Chlore</t>
  </si>
  <si>
    <t>Fluor</t>
  </si>
  <si>
    <t>Plomb</t>
  </si>
  <si>
    <t>Cuivre</t>
  </si>
  <si>
    <t>Cadmium</t>
  </si>
  <si>
    <t>Chrome</t>
  </si>
  <si>
    <t>Nickel</t>
  </si>
  <si>
    <t>Zinc</t>
  </si>
  <si>
    <t>Mercure total</t>
  </si>
  <si>
    <t>Méthode interne</t>
  </si>
  <si>
    <t>Arsenic</t>
  </si>
  <si>
    <t>Sélenium</t>
  </si>
  <si>
    <t>Humidité totale</t>
  </si>
  <si>
    <t>PCS/sec</t>
  </si>
  <si>
    <t>CEN TS 
15 400</t>
  </si>
  <si>
    <t>cal/g</t>
  </si>
  <si>
    <t>Carbone 
total</t>
  </si>
  <si>
    <t>Hydrogène pour PCI</t>
  </si>
  <si>
    <t>PCI/sec expérimental</t>
  </si>
  <si>
    <t>PCI/brut expérimental</t>
  </si>
  <si>
    <t>PCI/sec calculatoire</t>
  </si>
  <si>
    <t>PCI/brut calculatoire</t>
  </si>
  <si>
    <t>Analyses des Déchets Organiques Totaux du SYCTOM</t>
  </si>
  <si>
    <t>ISS_P15
PB BAN</t>
  </si>
  <si>
    <t>ROM_P15 
PB PAR</t>
  </si>
  <si>
    <t>ROM_P15 
PB BAN</t>
  </si>
  <si>
    <t>Moyenne Générale</t>
  </si>
  <si>
    <t>N de NH4</t>
  </si>
  <si>
    <t>Non normalisé</t>
  </si>
  <si>
    <t>N de NO3</t>
  </si>
  <si>
    <t>N de NO2</t>
  </si>
  <si>
    <t>Rapport C/N total</t>
  </si>
  <si>
    <t>&lt; 0,1</t>
  </si>
  <si>
    <t>&lt;</t>
  </si>
  <si>
    <t>Humidité DOT</t>
  </si>
  <si>
    <t>PCI/sec</t>
  </si>
  <si>
    <t>PCI/brut</t>
  </si>
  <si>
    <t>ISS_E14
PB PAR</t>
  </si>
  <si>
    <t>ISS_E14
PB BAN</t>
  </si>
  <si>
    <t>Mo sur Brut</t>
  </si>
  <si>
    <t>Somme des NPK</t>
  </si>
  <si>
    <t>Analyses des Déchets Organiques 
Totaux du SYCTOM</t>
  </si>
  <si>
    <t>Campagne : Printemps 2015</t>
  </si>
  <si>
    <t xml:space="preserve">Unité </t>
  </si>
  <si>
    <t>Complexes</t>
  </si>
  <si>
    <t>Incombustibles</t>
  </si>
  <si>
    <t>Déchets spéciaux</t>
  </si>
  <si>
    <t>Fermentescibles</t>
  </si>
  <si>
    <t>Ligneux</t>
  </si>
  <si>
    <t>Non ligneux</t>
  </si>
  <si>
    <t>Fines</t>
  </si>
  <si>
    <t>MODECOM</t>
  </si>
  <si>
    <t>Limite haute</t>
  </si>
  <si>
    <t>Limite basse</t>
  </si>
  <si>
    <t>Pas d'analyses effectuées</t>
  </si>
  <si>
    <t>&gt;</t>
  </si>
  <si>
    <t>C orga</t>
  </si>
  <si>
    <t>Rapport C/N orga</t>
  </si>
  <si>
    <t>&lt; 20</t>
  </si>
  <si>
    <t>&lt; 1</t>
  </si>
  <si>
    <t>C</t>
  </si>
  <si>
    <t>H</t>
  </si>
  <si>
    <t>Analyses des CSR du SYCTOM</t>
  </si>
  <si>
    <t>Combustibles/Fines (0 à 350 mm)</t>
  </si>
  <si>
    <t>Carbone total (%)</t>
  </si>
  <si>
    <t>Hydrogène pour PCI (%)</t>
  </si>
  <si>
    <t>PCS/sec (cal/g)</t>
  </si>
  <si>
    <t>PCI/sec (cal/g)</t>
  </si>
  <si>
    <t>ISS_H15 PC PAR</t>
  </si>
  <si>
    <t>ISS_H15 PC BAN</t>
  </si>
  <si>
    <t>STO_H15  PC PAR</t>
  </si>
  <si>
    <t>STO_H15  PC BAN</t>
  </si>
  <si>
    <t>ROM_H15  PC PAR</t>
  </si>
  <si>
    <t>ROM_H15  PC BAN</t>
  </si>
  <si>
    <t>IV13_H15  PC PAR</t>
  </si>
  <si>
    <t>IV13_H15  PC BAN</t>
  </si>
  <si>
    <t>Incombustibles (0 à 350 mm)</t>
  </si>
  <si>
    <t>Toutes fractions (0 à 350 mm)</t>
  </si>
  <si>
    <t>Humidité (%)</t>
  </si>
  <si>
    <t>PCI/brut
(cal/g)</t>
  </si>
  <si>
    <t>Analyse des Déchets Initiaux Reconstitués du SYCTOM : prestation B</t>
  </si>
  <si>
    <t>Analyse du PCI des OM du Syctom : comparaison résultats prestation B et prestation C</t>
  </si>
  <si>
    <t>Fractions 0 à 350 mm</t>
  </si>
  <si>
    <t>ISS P15 PB PAR</t>
  </si>
  <si>
    <t>ISS P15 PAR BAN</t>
  </si>
  <si>
    <t>STO P15 PB PAR</t>
  </si>
  <si>
    <t>STO P15 PB BAN</t>
  </si>
  <si>
    <t>ROM P15 PB PAR</t>
  </si>
  <si>
    <t>ROM P15 PB BAN</t>
  </si>
  <si>
    <t>IV13 P15 PB PAR</t>
  </si>
  <si>
    <t>IV13 P15 PB BAN</t>
  </si>
  <si>
    <t>Moyenne générale</t>
  </si>
  <si>
    <t>Moyenne Paris</t>
  </si>
  <si>
    <t>Moyenne Banlieue</t>
  </si>
  <si>
    <t>Référence ADEME*</t>
  </si>
  <si>
    <t>LI Haute</t>
  </si>
  <si>
    <t>LI Basse</t>
  </si>
  <si>
    <t>Analyse</t>
  </si>
  <si>
    <t>ISS_P15 PAR</t>
  </si>
  <si>
    <t>ISS_P15 BAN</t>
  </si>
  <si>
    <t>STO_P15 PAR</t>
  </si>
  <si>
    <t>STO_P15 BAN</t>
  </si>
  <si>
    <t>ROM_P15 PAR</t>
  </si>
  <si>
    <t>ROM_P15 BAN</t>
  </si>
  <si>
    <t>IV13_P15 PAR</t>
  </si>
  <si>
    <t>IV13_P15 BAN</t>
  </si>
  <si>
    <t>Référence ADEME</t>
  </si>
  <si>
    <t>LI haute</t>
  </si>
  <si>
    <t>Résultats de la "Prestation C"</t>
  </si>
  <si>
    <t>Carbone total</t>
  </si>
  <si>
    <t>PCS/sec expérimental</t>
  </si>
  <si>
    <t>AB</t>
  </si>
  <si>
    <t>Humidité</t>
  </si>
  <si>
    <t>Rappel des Résultats de la "Prestation B"</t>
  </si>
  <si>
    <t>PCS/sec exp. des DIR</t>
  </si>
  <si>
    <t xml:space="preserve">écart PCI/sec exp - PCI/sec cal </t>
  </si>
  <si>
    <t>PCI/brut exp. des DIR</t>
  </si>
  <si>
    <t>écart PCI/brut exp - PCI/brut cal</t>
  </si>
  <si>
    <t>PCI/brut cal. des DIR</t>
  </si>
  <si>
    <t>Comparaison "Prestation B" / "Prestation C"</t>
  </si>
  <si>
    <r>
      <t xml:space="preserve">Ecart Humidité 
</t>
    </r>
    <r>
      <rPr>
        <i/>
        <sz val="8"/>
        <rFont val="Calibri"/>
        <family val="2"/>
        <scheme val="minor"/>
      </rPr>
      <t>(hum C - hum B)/hum B</t>
    </r>
  </si>
  <si>
    <t>Référence MODECOM PCS/sec</t>
  </si>
  <si>
    <r>
      <t xml:space="preserve">Ecart PCS/sec exp.
</t>
    </r>
    <r>
      <rPr>
        <i/>
        <sz val="8"/>
        <rFont val="Calibri"/>
        <family val="2"/>
        <scheme val="minor"/>
      </rPr>
      <t>(valeur C - valeur B)/valeur B</t>
    </r>
  </si>
  <si>
    <t>Référence MODECOM PCI/brut</t>
  </si>
  <si>
    <r>
      <t xml:space="preserve">Ecart PCI/brut exp.
</t>
    </r>
    <r>
      <rPr>
        <i/>
        <sz val="8"/>
        <rFont val="Calibri"/>
        <family val="2"/>
        <scheme val="minor"/>
      </rPr>
      <t>(valeur C - valeur B)/valeur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</si>
</sst>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€_-;\-* #,##0.00\ _€_-;_-* &quot;-&quot;??\ _€_-;_-@_-"/>
    <numFmt numFmtId="164" formatCode="h:mm;@"/>
    <numFmt numFmtId="165" formatCode="0.0%"/>
    <numFmt numFmtId="166" formatCode="0.000%"/>
    <numFmt numFmtId="167" formatCode="#,##0.0"/>
    <numFmt numFmtId="168" formatCode="0.0"/>
    <numFmt numFmtId="169" formatCode="0E+00"/>
    <numFmt numFmtId="170" formatCode="#,##0.0_ ;\-#,##0.0\ "/>
    <numFmt numFmtId="171" formatCode="#,##0_ ;\-#,##0\ "/>
    <numFmt numFmtId="172" formatCode="#,##0.00_ ;\-#,##0.00\ 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i/>
      <sz val="10"/>
      <color theme="9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color theme="1"/>
      <name val="Arial"/>
      <family val="2"/>
    </font>
    <font>
      <sz val="11"/>
      <color indexed="60"/>
      <name val="Calibri"/>
      <family val="2"/>
    </font>
    <font>
      <sz val="12"/>
      <color theme="1"/>
      <name val="Cambria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4"/>
      <name val="Calibri"/>
      <family val="2"/>
      <scheme val="minor"/>
    </font>
    <font>
      <sz val="10"/>
      <name val="Arial"/>
      <family val="2"/>
    </font>
    <font>
      <b/>
      <sz val="9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color indexed="8"/>
      <name val="Calibri"/>
      <family val="2"/>
      <scheme val="minor"/>
    </font>
    <font>
      <i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i/>
      <sz val="8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6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4506668294322"/>
        <bgColor indexed="26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medium">
        <color rgb="FFC2D69A"/>
      </left>
      <right style="medium">
        <color rgb="FFC2D69A"/>
      </right>
      <top/>
      <bottom style="medium">
        <color rgb="FFC2D69A"/>
      </bottom>
      <diagonal/>
    </border>
    <border>
      <left/>
      <right style="medium">
        <color rgb="FFC2D69A"/>
      </right>
      <top/>
      <bottom style="medium">
        <color rgb="FFC2D69A"/>
      </bottom>
      <diagonal/>
    </border>
    <border>
      <left/>
      <right style="medium">
        <color rgb="FFC2D69A"/>
      </right>
      <top/>
      <bottom/>
      <diagonal/>
    </border>
    <border>
      <left/>
      <right/>
      <top/>
      <bottom style="medium">
        <color rgb="FFEAF1DD"/>
      </bottom>
      <diagonal/>
    </border>
    <border>
      <left/>
      <right style="thin">
        <color theme="6"/>
      </right>
      <top/>
      <bottom/>
      <diagonal/>
    </border>
    <border>
      <left style="thin">
        <color rgb="FF9BBB59"/>
      </left>
      <right/>
      <top style="thin">
        <color theme="0"/>
      </top>
      <bottom style="thin">
        <color rgb="FF9BBB59"/>
      </bottom>
      <diagonal/>
    </border>
    <border>
      <left style="thin">
        <color rgb="FF9BBB59"/>
      </left>
      <right/>
      <top/>
      <bottom style="thin">
        <color rgb="FF9BBB59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double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theme="6"/>
      </left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 style="double">
        <color theme="6"/>
      </right>
      <top style="thin">
        <color theme="6"/>
      </top>
      <bottom style="thin">
        <color theme="6"/>
      </bottom>
      <diagonal/>
    </border>
    <border>
      <left/>
      <right style="double">
        <color theme="0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rgb="FFEAF1DD"/>
      </left>
      <right style="thin">
        <color rgb="FFEAF1DD"/>
      </right>
      <top/>
      <bottom style="thin">
        <color rgb="FFEAF1DD"/>
      </bottom>
      <diagonal/>
    </border>
    <border>
      <left style="medium">
        <color theme="6"/>
      </left>
      <right style="thin">
        <color theme="6" tint="0.79998168889431442"/>
      </right>
      <top style="medium">
        <color theme="6"/>
      </top>
      <bottom style="thin">
        <color theme="6" tint="0.79998168889431442"/>
      </bottom>
      <diagonal/>
    </border>
    <border>
      <left style="thin">
        <color theme="6" tint="0.79998168889431442"/>
      </left>
      <right style="thin">
        <color theme="6" tint="0.79998168889431442"/>
      </right>
      <top style="medium">
        <color theme="6"/>
      </top>
      <bottom style="thin">
        <color theme="6" tint="0.79998168889431442"/>
      </bottom>
      <diagonal/>
    </border>
    <border>
      <left style="thin">
        <color theme="6" tint="0.79998168889431442"/>
      </left>
      <right style="medium">
        <color theme="6"/>
      </right>
      <top style="medium">
        <color theme="6"/>
      </top>
      <bottom style="thin">
        <color theme="6" tint="0.79998168889431442"/>
      </bottom>
      <diagonal/>
    </border>
    <border>
      <left style="medium">
        <color theme="6"/>
      </left>
      <right style="thin">
        <color theme="6" tint="0.79998168889431442"/>
      </right>
      <top style="thin">
        <color theme="6" tint="0.79998168889431442"/>
      </top>
      <bottom/>
      <diagonal/>
    </border>
    <border>
      <left style="thin">
        <color theme="6"/>
      </left>
      <right style="medium">
        <color theme="6"/>
      </right>
      <top/>
      <bottom style="thin">
        <color theme="6"/>
      </bottom>
      <diagonal/>
    </border>
    <border>
      <left style="medium">
        <color theme="6"/>
      </left>
      <right style="thin">
        <color theme="6" tint="0.79998168889431442"/>
      </right>
      <top/>
      <bottom/>
      <diagonal/>
    </border>
    <border>
      <left style="thin">
        <color theme="6"/>
      </left>
      <right style="medium">
        <color theme="6"/>
      </right>
      <top style="thin">
        <color theme="6"/>
      </top>
      <bottom style="thin">
        <color theme="6"/>
      </bottom>
      <diagonal/>
    </border>
    <border>
      <left style="medium">
        <color theme="6"/>
      </left>
      <right style="thin">
        <color theme="6" tint="0.79998168889431442"/>
      </right>
      <top/>
      <bottom style="thin">
        <color theme="6" tint="0.79998168889431442"/>
      </bottom>
      <diagonal/>
    </border>
    <border>
      <left style="medium">
        <color theme="6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 style="medium">
        <color rgb="FFC2D69A"/>
      </bottom>
      <diagonal/>
    </border>
    <border>
      <left style="thin">
        <color theme="6"/>
      </left>
      <right style="medium">
        <color theme="6"/>
      </right>
      <top style="thin">
        <color theme="6"/>
      </top>
      <bottom/>
      <diagonal/>
    </border>
    <border>
      <left style="medium">
        <color theme="6"/>
      </left>
      <right/>
      <top style="thin">
        <color theme="6" tint="0.79998168889431442"/>
      </top>
      <bottom style="thin">
        <color theme="6" tint="0.79998168889431442"/>
      </bottom>
      <diagonal/>
    </border>
    <border>
      <left style="medium">
        <color theme="6"/>
      </left>
      <right/>
      <top/>
      <bottom style="medium">
        <color rgb="FFEAF1DD"/>
      </bottom>
      <diagonal/>
    </border>
    <border>
      <left style="thin">
        <color rgb="FFEAF1DD"/>
      </left>
      <right style="medium">
        <color theme="6"/>
      </right>
      <top/>
      <bottom style="thin">
        <color rgb="FFEAF1DD"/>
      </bottom>
      <diagonal/>
    </border>
    <border>
      <left style="medium">
        <color theme="6"/>
      </left>
      <right/>
      <top style="medium">
        <color rgb="FFEAF1DD"/>
      </top>
      <bottom style="medium">
        <color theme="6"/>
      </bottom>
      <diagonal/>
    </border>
    <border>
      <left/>
      <right style="thin">
        <color rgb="FFEAF1DD"/>
      </right>
      <top style="medium">
        <color rgb="FFEAF1DD"/>
      </top>
      <bottom style="medium">
        <color theme="6"/>
      </bottom>
      <diagonal/>
    </border>
    <border>
      <left style="thin">
        <color rgb="FFEAF1DD"/>
      </left>
      <right style="thin">
        <color rgb="FFEAF1DD"/>
      </right>
      <top style="thin">
        <color rgb="FFEAF1DD"/>
      </top>
      <bottom style="medium">
        <color theme="6"/>
      </bottom>
      <diagonal/>
    </border>
    <border>
      <left style="thin">
        <color rgb="FFEAF1DD"/>
      </left>
      <right style="medium">
        <color theme="6"/>
      </right>
      <top style="thin">
        <color rgb="FFEAF1DD"/>
      </top>
      <bottom style="medium">
        <color theme="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287">
    <xf numFmtId="0" fontId="0" fillId="0" borderId="0"/>
    <xf numFmtId="9" fontId="1" fillId="0" borderId="0" applyFont="0" applyFill="0" applyBorder="0" applyAlignment="0" applyProtection="0"/>
    <xf numFmtId="0" fontId="10" fillId="0" borderId="0"/>
    <xf numFmtId="9" fontId="31" fillId="0" borderId="0" applyFont="0" applyFill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2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6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6" fillId="0" borderId="34" applyNumberFormat="0" applyFill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1" fillId="28" borderId="35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8" fillId="10" borderId="0" applyNumberFormat="0" applyBorder="0" applyAlignment="0" applyProtection="0"/>
    <xf numFmtId="43" fontId="3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29" borderId="0" applyNumberFormat="0" applyBorder="0" applyAlignment="0" applyProtection="0"/>
    <xf numFmtId="0" fontId="32" fillId="0" borderId="0"/>
    <xf numFmtId="0" fontId="32" fillId="0" borderId="0"/>
    <xf numFmtId="0" fontId="1" fillId="0" borderId="0"/>
    <xf numFmtId="0" fontId="10" fillId="0" borderId="0"/>
    <xf numFmtId="0" fontId="31" fillId="0" borderId="0"/>
    <xf numFmtId="0" fontId="31" fillId="0" borderId="0"/>
    <xf numFmtId="0" fontId="39" fillId="0" borderId="0"/>
    <xf numFmtId="0" fontId="41" fillId="0" borderId="0"/>
    <xf numFmtId="9" fontId="1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" fillId="0" borderId="0" applyFill="0" applyBorder="0" applyAlignment="0" applyProtection="0"/>
    <xf numFmtId="9" fontId="39" fillId="0" borderId="0" applyFont="0" applyFill="0" applyBorder="0" applyAlignment="0" applyProtection="0"/>
    <xf numFmtId="0" fontId="42" fillId="11" borderId="0" applyNumberFormat="0" applyBorder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37" applyNumberFormat="0" applyFill="0" applyAlignment="0" applyProtection="0"/>
    <xf numFmtId="0" fontId="47" fillId="0" borderId="38" applyNumberFormat="0" applyFill="0" applyAlignment="0" applyProtection="0"/>
    <xf numFmtId="0" fontId="48" fillId="0" borderId="39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50" fillId="30" borderId="41" applyNumberFormat="0" applyAlignment="0" applyProtection="0"/>
    <xf numFmtId="0" fontId="31" fillId="0" borderId="0"/>
    <xf numFmtId="43" fontId="10" fillId="0" borderId="0" applyFont="0" applyFill="0" applyBorder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51" fillId="0" borderId="0"/>
    <xf numFmtId="0" fontId="1" fillId="0" borderId="0"/>
    <xf numFmtId="0" fontId="52" fillId="0" borderId="0"/>
    <xf numFmtId="0" fontId="1" fillId="0" borderId="0"/>
    <xf numFmtId="43" fontId="1" fillId="0" borderId="0" applyFont="0" applyFill="0" applyBorder="0" applyAlignment="0" applyProtection="0"/>
    <xf numFmtId="0" fontId="54" fillId="0" borderId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35" fillId="27" borderId="33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37" fillId="14" borderId="3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3" fillId="27" borderId="36" applyNumberFormat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54" fillId="0" borderId="0"/>
    <xf numFmtId="9" fontId="54" fillId="0" borderId="0" applyFont="0" applyFill="0" applyBorder="0" applyAlignment="0" applyProtection="0"/>
    <xf numFmtId="9" fontId="54" fillId="0" borderId="0" applyFill="0" applyBorder="0" applyAlignment="0" applyProtection="0"/>
    <xf numFmtId="0" fontId="55" fillId="0" borderId="0"/>
    <xf numFmtId="0" fontId="57" fillId="0" borderId="0"/>
  </cellStyleXfs>
  <cellXfs count="601">
    <xf numFmtId="0" fontId="0" fillId="0" borderId="0" xfId="0"/>
    <xf numFmtId="0" fontId="3" fillId="0" borderId="0" xfId="0" applyFont="1"/>
    <xf numFmtId="0" fontId="5" fillId="0" borderId="0" xfId="0" applyFont="1" applyAlignment="1"/>
    <xf numFmtId="0" fontId="3" fillId="0" borderId="0" xfId="0" applyFont="1" applyAlignment="1"/>
    <xf numFmtId="164" fontId="3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9" fontId="8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165" fontId="3" fillId="0" borderId="4" xfId="0" applyNumberFormat="1" applyFont="1" applyBorder="1"/>
    <xf numFmtId="0" fontId="3" fillId="0" borderId="1" xfId="0" applyFont="1" applyFill="1" applyBorder="1" applyAlignment="1">
      <alignment vertical="center"/>
    </xf>
    <xf numFmtId="0" fontId="3" fillId="0" borderId="4" xfId="0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9" fillId="0" borderId="2" xfId="0" applyFont="1" applyBorder="1" applyAlignment="1"/>
    <xf numFmtId="0" fontId="3" fillId="0" borderId="1" xfId="0" applyFont="1" applyBorder="1" applyAlignment="1">
      <alignment wrapText="1"/>
    </xf>
    <xf numFmtId="0" fontId="0" fillId="0" borderId="4" xfId="0" applyBorder="1"/>
    <xf numFmtId="0" fontId="3" fillId="0" borderId="4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17" fillId="0" borderId="4" xfId="0" applyFont="1" applyBorder="1"/>
    <xf numFmtId="165" fontId="0" fillId="0" borderId="4" xfId="0" applyNumberForma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17" fillId="0" borderId="14" xfId="0" applyFont="1" applyBorder="1"/>
    <xf numFmtId="10" fontId="0" fillId="0" borderId="14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4" xfId="1" applyNumberFormat="1" applyFont="1" applyBorder="1" applyAlignment="1">
      <alignment horizontal="center"/>
    </xf>
    <xf numFmtId="9" fontId="0" fillId="0" borderId="14" xfId="1" applyFont="1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165" fontId="0" fillId="0" borderId="0" xfId="0" applyNumberFormat="1"/>
    <xf numFmtId="9" fontId="0" fillId="0" borderId="0" xfId="0" applyNumberFormat="1"/>
    <xf numFmtId="0" fontId="17" fillId="5" borderId="14" xfId="0" applyFont="1" applyFill="1" applyBorder="1"/>
    <xf numFmtId="10" fontId="0" fillId="5" borderId="14" xfId="0" applyNumberFormat="1" applyFill="1" applyBorder="1" applyAlignment="1">
      <alignment horizontal="center"/>
    </xf>
    <xf numFmtId="165" fontId="0" fillId="5" borderId="14" xfId="0" applyNumberFormat="1" applyFill="1" applyBorder="1" applyAlignment="1">
      <alignment horizontal="center"/>
    </xf>
    <xf numFmtId="165" fontId="0" fillId="5" borderId="14" xfId="1" applyNumberFormat="1" applyFont="1" applyFill="1" applyBorder="1" applyAlignment="1">
      <alignment horizontal="center"/>
    </xf>
    <xf numFmtId="9" fontId="0" fillId="5" borderId="14" xfId="1" applyFont="1" applyFill="1" applyBorder="1" applyAlignment="1">
      <alignment horizontal="center"/>
    </xf>
    <xf numFmtId="165" fontId="0" fillId="5" borderId="15" xfId="1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vertical="center"/>
    </xf>
    <xf numFmtId="165" fontId="0" fillId="0" borderId="13" xfId="0" applyNumberFormat="1" applyBorder="1" applyAlignment="1">
      <alignment horizontal="center"/>
    </xf>
    <xf numFmtId="9" fontId="0" fillId="0" borderId="0" xfId="1" applyFont="1"/>
    <xf numFmtId="0" fontId="18" fillId="0" borderId="0" xfId="0" applyFont="1"/>
    <xf numFmtId="0" fontId="18" fillId="0" borderId="15" xfId="0" applyFont="1" applyBorder="1"/>
    <xf numFmtId="165" fontId="18" fillId="0" borderId="16" xfId="0" applyNumberFormat="1" applyFont="1" applyBorder="1" applyAlignment="1">
      <alignment horizontal="center"/>
    </xf>
    <xf numFmtId="165" fontId="18" fillId="0" borderId="17" xfId="0" applyNumberFormat="1" applyFont="1" applyBorder="1" applyAlignment="1">
      <alignment horizontal="center"/>
    </xf>
    <xf numFmtId="0" fontId="18" fillId="5" borderId="15" xfId="0" applyFont="1" applyFill="1" applyBorder="1"/>
    <xf numFmtId="165" fontId="18" fillId="5" borderId="16" xfId="0" applyNumberFormat="1" applyFont="1" applyFill="1" applyBorder="1" applyAlignment="1">
      <alignment horizontal="center"/>
    </xf>
    <xf numFmtId="165" fontId="18" fillId="5" borderId="17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vertical="center"/>
    </xf>
    <xf numFmtId="0" fontId="14" fillId="0" borderId="18" xfId="0" applyFont="1" applyFill="1" applyBorder="1" applyAlignment="1">
      <alignment horizontal="left" vertical="center" wrapText="1"/>
    </xf>
    <xf numFmtId="165" fontId="21" fillId="0" borderId="14" xfId="1" applyNumberFormat="1" applyFont="1" applyBorder="1" applyAlignment="1">
      <alignment horizontal="center" vertical="center"/>
    </xf>
    <xf numFmtId="165" fontId="0" fillId="5" borderId="14" xfId="0" applyNumberFormat="1" applyFill="1" applyBorder="1" applyAlignment="1">
      <alignment horizontal="center" vertical="center"/>
    </xf>
    <xf numFmtId="165" fontId="0" fillId="0" borderId="14" xfId="0" applyNumberFormat="1" applyFon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17" fillId="0" borderId="16" xfId="1" applyNumberFormat="1" applyFont="1" applyBorder="1" applyAlignment="1">
      <alignment horizontal="center" vertical="center"/>
    </xf>
    <xf numFmtId="165" fontId="17" fillId="8" borderId="14" xfId="1" applyNumberFormat="1" applyFont="1" applyFill="1" applyBorder="1" applyAlignment="1">
      <alignment horizontal="center" vertical="center"/>
    </xf>
    <xf numFmtId="165" fontId="17" fillId="0" borderId="14" xfId="1" applyNumberFormat="1" applyFont="1" applyBorder="1" applyAlignment="1">
      <alignment horizontal="center" vertical="center"/>
    </xf>
    <xf numFmtId="0" fontId="13" fillId="7" borderId="21" xfId="0" applyFont="1" applyFill="1" applyBorder="1" applyAlignment="1">
      <alignment horizontal="center" vertical="center" wrapText="1"/>
    </xf>
    <xf numFmtId="165" fontId="17" fillId="0" borderId="14" xfId="0" applyNumberFormat="1" applyFont="1" applyBorder="1" applyAlignment="1">
      <alignment horizontal="center" vertical="center"/>
    </xf>
    <xf numFmtId="165" fontId="21" fillId="0" borderId="14" xfId="0" applyNumberFormat="1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wrapText="1"/>
    </xf>
    <xf numFmtId="10" fontId="24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10" fontId="23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0" fillId="0" borderId="0" xfId="0" applyFill="1" applyBorder="1"/>
    <xf numFmtId="0" fontId="21" fillId="0" borderId="0" xfId="0" applyFont="1" applyFill="1" applyBorder="1" applyAlignment="1">
      <alignment wrapText="1"/>
    </xf>
    <xf numFmtId="0" fontId="17" fillId="8" borderId="19" xfId="0" applyFont="1" applyFill="1" applyBorder="1" applyAlignment="1">
      <alignment vertical="center"/>
    </xf>
    <xf numFmtId="0" fontId="17" fillId="0" borderId="19" xfId="0" applyFont="1" applyBorder="1" applyAlignment="1">
      <alignment vertical="center"/>
    </xf>
    <xf numFmtId="165" fontId="0" fillId="0" borderId="16" xfId="0" applyNumberFormat="1" applyFont="1" applyBorder="1" applyAlignment="1">
      <alignment horizontal="center" vertical="center"/>
    </xf>
    <xf numFmtId="9" fontId="18" fillId="0" borderId="29" xfId="1" applyFont="1" applyBorder="1" applyAlignment="1">
      <alignment horizontal="center"/>
    </xf>
    <xf numFmtId="9" fontId="18" fillId="5" borderId="29" xfId="1" applyFont="1" applyFill="1" applyBorder="1" applyAlignment="1">
      <alignment horizontal="center"/>
    </xf>
    <xf numFmtId="165" fontId="18" fillId="0" borderId="30" xfId="1" applyNumberFormat="1" applyFont="1" applyBorder="1" applyAlignment="1">
      <alignment horizontal="center"/>
    </xf>
    <xf numFmtId="165" fontId="18" fillId="5" borderId="30" xfId="1" applyNumberFormat="1" applyFont="1" applyFill="1" applyBorder="1" applyAlignment="1">
      <alignment horizontal="center"/>
    </xf>
    <xf numFmtId="9" fontId="18" fillId="0" borderId="30" xfId="1" applyFont="1" applyBorder="1" applyAlignment="1">
      <alignment horizontal="center"/>
    </xf>
    <xf numFmtId="165" fontId="18" fillId="5" borderId="32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4" borderId="14" xfId="0" applyFill="1" applyBorder="1"/>
    <xf numFmtId="0" fontId="13" fillId="7" borderId="14" xfId="0" applyFont="1" applyFill="1" applyBorder="1" applyAlignment="1">
      <alignment horizontal="center" vertical="center" wrapText="1"/>
    </xf>
    <xf numFmtId="0" fontId="2" fillId="4" borderId="14" xfId="0" applyFont="1" applyFill="1" applyBorder="1"/>
    <xf numFmtId="0" fontId="9" fillId="5" borderId="14" xfId="0" applyFont="1" applyFill="1" applyBorder="1" applyAlignment="1"/>
    <xf numFmtId="0" fontId="3" fillId="5" borderId="14" xfId="0" applyFont="1" applyFill="1" applyBorder="1" applyAlignment="1">
      <alignment horizontal="center"/>
    </xf>
    <xf numFmtId="165" fontId="3" fillId="5" borderId="14" xfId="0" applyNumberFormat="1" applyFont="1" applyFill="1" applyBorder="1" applyAlignment="1">
      <alignment horizontal="center" vertical="center"/>
    </xf>
    <xf numFmtId="165" fontId="0" fillId="5" borderId="14" xfId="1" applyNumberFormat="1" applyFont="1" applyFill="1" applyBorder="1" applyAlignment="1">
      <alignment horizontal="center" vertical="center"/>
    </xf>
    <xf numFmtId="165" fontId="3" fillId="0" borderId="0" xfId="0" applyNumberFormat="1" applyFont="1" applyBorder="1"/>
    <xf numFmtId="165" fontId="14" fillId="3" borderId="0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/>
    </xf>
    <xf numFmtId="0" fontId="0" fillId="4" borderId="15" xfId="0" applyFill="1" applyBorder="1" applyAlignment="1"/>
    <xf numFmtId="0" fontId="0" fillId="4" borderId="15" xfId="0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26" fillId="4" borderId="15" xfId="0" applyFont="1" applyFill="1" applyBorder="1" applyAlignment="1">
      <alignment vertical="center"/>
    </xf>
    <xf numFmtId="2" fontId="2" fillId="4" borderId="15" xfId="0" applyNumberFormat="1" applyFont="1" applyFill="1" applyBorder="1" applyAlignment="1">
      <alignment horizontal="center"/>
    </xf>
    <xf numFmtId="2" fontId="2" fillId="4" borderId="15" xfId="0" applyNumberFormat="1" applyFont="1" applyFill="1" applyBorder="1" applyAlignment="1">
      <alignment horizontal="center" vertical="center"/>
    </xf>
    <xf numFmtId="165" fontId="0" fillId="0" borderId="14" xfId="0" applyNumberForma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/>
    </xf>
    <xf numFmtId="165" fontId="3" fillId="0" borderId="14" xfId="0" applyNumberFormat="1" applyFont="1" applyFill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0" fillId="0" borderId="14" xfId="1" applyNumberFormat="1" applyFont="1" applyBorder="1"/>
    <xf numFmtId="165" fontId="0" fillId="5" borderId="14" xfId="1" applyNumberFormat="1" applyFont="1" applyFill="1" applyBorder="1"/>
    <xf numFmtId="0" fontId="21" fillId="4" borderId="14" xfId="0" applyFont="1" applyFill="1" applyBorder="1" applyAlignment="1">
      <alignment horizontal="center" vertical="center" wrapText="1"/>
    </xf>
    <xf numFmtId="9" fontId="17" fillId="0" borderId="14" xfId="1" applyFont="1" applyBorder="1" applyAlignment="1">
      <alignment horizontal="center" vertical="center"/>
    </xf>
    <xf numFmtId="9" fontId="17" fillId="5" borderId="14" xfId="1" applyFont="1" applyFill="1" applyBorder="1" applyAlignment="1">
      <alignment horizontal="center" vertical="center"/>
    </xf>
    <xf numFmtId="165" fontId="17" fillId="5" borderId="14" xfId="0" applyNumberFormat="1" applyFont="1" applyFill="1" applyBorder="1" applyAlignment="1">
      <alignment horizontal="center" vertical="center"/>
    </xf>
    <xf numFmtId="9" fontId="21" fillId="5" borderId="14" xfId="1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 wrapText="1"/>
    </xf>
    <xf numFmtId="0" fontId="19" fillId="4" borderId="43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6" borderId="44" xfId="0" applyFont="1" applyFill="1" applyBorder="1" applyAlignment="1">
      <alignment horizontal="center" vertical="center"/>
    </xf>
    <xf numFmtId="0" fontId="19" fillId="6" borderId="44" xfId="0" applyFont="1" applyFill="1" applyBorder="1" applyAlignment="1">
      <alignment horizontal="center" vertical="center" wrapText="1"/>
    </xf>
    <xf numFmtId="9" fontId="17" fillId="0" borderId="14" xfId="0" applyNumberFormat="1" applyFont="1" applyBorder="1" applyAlignment="1">
      <alignment horizontal="center" vertical="center"/>
    </xf>
    <xf numFmtId="9" fontId="17" fillId="5" borderId="14" xfId="0" applyNumberFormat="1" applyFont="1" applyFill="1" applyBorder="1" applyAlignment="1">
      <alignment horizontal="center" vertical="center"/>
    </xf>
    <xf numFmtId="165" fontId="17" fillId="0" borderId="19" xfId="0" applyNumberFormat="1" applyFont="1" applyBorder="1" applyAlignment="1">
      <alignment horizontal="center" vertical="center"/>
    </xf>
    <xf numFmtId="165" fontId="17" fillId="5" borderId="19" xfId="0" applyNumberFormat="1" applyFont="1" applyFill="1" applyBorder="1" applyAlignment="1">
      <alignment horizontal="center" vertical="center"/>
    </xf>
    <xf numFmtId="165" fontId="17" fillId="0" borderId="45" xfId="0" applyNumberFormat="1" applyFont="1" applyBorder="1" applyAlignment="1">
      <alignment horizontal="center" vertical="center"/>
    </xf>
    <xf numFmtId="165" fontId="17" fillId="5" borderId="45" xfId="0" applyNumberFormat="1" applyFont="1" applyFill="1" applyBorder="1" applyAlignment="1">
      <alignment horizontal="center" vertical="center"/>
    </xf>
    <xf numFmtId="0" fontId="19" fillId="4" borderId="46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9" fontId="18" fillId="0" borderId="17" xfId="1" applyFont="1" applyBorder="1" applyAlignment="1">
      <alignment horizontal="center"/>
    </xf>
    <xf numFmtId="9" fontId="18" fillId="5" borderId="15" xfId="1" applyFont="1" applyFill="1" applyBorder="1" applyAlignment="1">
      <alignment horizontal="center"/>
    </xf>
    <xf numFmtId="9" fontId="18" fillId="0" borderId="15" xfId="1" applyFont="1" applyBorder="1" applyAlignment="1">
      <alignment horizontal="center"/>
    </xf>
    <xf numFmtId="0" fontId="2" fillId="4" borderId="0" xfId="0" applyFont="1" applyFill="1" applyBorder="1" applyAlignment="1">
      <alignment horizontal="center" vertical="center" wrapText="1"/>
    </xf>
    <xf numFmtId="43" fontId="2" fillId="0" borderId="0" xfId="340" applyFont="1"/>
    <xf numFmtId="0" fontId="2" fillId="31" borderId="14" xfId="0" applyFont="1" applyFill="1" applyBorder="1" applyAlignment="1">
      <alignment horizontal="center" vertical="center"/>
    </xf>
    <xf numFmtId="0" fontId="13" fillId="3" borderId="47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center" vertical="center" wrapText="1"/>
    </xf>
    <xf numFmtId="165" fontId="0" fillId="5" borderId="14" xfId="0" applyNumberFormat="1" applyFont="1" applyFill="1" applyBorder="1" applyAlignment="1">
      <alignment horizontal="center"/>
    </xf>
    <xf numFmtId="165" fontId="0" fillId="0" borderId="14" xfId="0" applyNumberFormat="1" applyFont="1" applyBorder="1" applyAlignment="1">
      <alignment horizontal="center"/>
    </xf>
    <xf numFmtId="165" fontId="23" fillId="31" borderId="24" xfId="0" applyNumberFormat="1" applyFont="1" applyFill="1" applyBorder="1" applyAlignment="1">
      <alignment horizontal="center" vertical="center"/>
    </xf>
    <xf numFmtId="165" fontId="23" fillId="31" borderId="25" xfId="0" applyNumberFormat="1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left" vertical="center" wrapText="1"/>
    </xf>
    <xf numFmtId="165" fontId="0" fillId="8" borderId="14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0" xfId="0" applyNumberFormat="1" applyFill="1"/>
    <xf numFmtId="0" fontId="21" fillId="5" borderId="14" xfId="0" applyFont="1" applyFill="1" applyBorder="1"/>
    <xf numFmtId="0" fontId="21" fillId="5" borderId="14" xfId="0" applyFont="1" applyFill="1" applyBorder="1" applyAlignment="1">
      <alignment horizontal="center" vertical="center"/>
    </xf>
    <xf numFmtId="9" fontId="18" fillId="0" borderId="16" xfId="1" applyFont="1" applyBorder="1" applyAlignment="1">
      <alignment horizontal="center"/>
    </xf>
    <xf numFmtId="9" fontId="18" fillId="5" borderId="14" xfId="1" applyFont="1" applyFill="1" applyBorder="1" applyAlignment="1">
      <alignment horizontal="center"/>
    </xf>
    <xf numFmtId="9" fontId="18" fillId="0" borderId="14" xfId="1" applyFont="1" applyBorder="1" applyAlignment="1">
      <alignment horizontal="center"/>
    </xf>
    <xf numFmtId="0" fontId="2" fillId="4" borderId="14" xfId="0" applyFont="1" applyFill="1" applyBorder="1" applyAlignment="1">
      <alignment horizontal="center" vertical="center"/>
    </xf>
    <xf numFmtId="0" fontId="2" fillId="31" borderId="14" xfId="0" applyFont="1" applyFill="1" applyBorder="1" applyAlignment="1">
      <alignment horizontal="center" vertical="center" wrapText="1"/>
    </xf>
    <xf numFmtId="9" fontId="1" fillId="0" borderId="0" xfId="1" applyFont="1"/>
    <xf numFmtId="9" fontId="2" fillId="0" borderId="0" xfId="1" applyFont="1"/>
    <xf numFmtId="165" fontId="53" fillId="0" borderId="14" xfId="0" applyNumberFormat="1" applyFon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16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9" fontId="0" fillId="0" borderId="16" xfId="1" applyFont="1" applyBorder="1" applyAlignment="1">
      <alignment horizontal="center"/>
    </xf>
    <xf numFmtId="165" fontId="20" fillId="0" borderId="16" xfId="0" applyNumberFormat="1" applyFont="1" applyBorder="1" applyAlignment="1">
      <alignment horizontal="center"/>
    </xf>
    <xf numFmtId="165" fontId="20" fillId="0" borderId="32" xfId="0" applyNumberFormat="1" applyFont="1" applyBorder="1" applyAlignment="1">
      <alignment horizontal="center"/>
    </xf>
    <xf numFmtId="165" fontId="53" fillId="0" borderId="16" xfId="0" applyNumberFormat="1" applyFont="1" applyBorder="1" applyAlignment="1">
      <alignment horizontal="center"/>
    </xf>
    <xf numFmtId="0" fontId="19" fillId="31" borderId="14" xfId="0" applyFont="1" applyFill="1" applyBorder="1" applyAlignment="1">
      <alignment horizontal="center" vertical="center" wrapText="1"/>
    </xf>
    <xf numFmtId="0" fontId="19" fillId="31" borderId="14" xfId="0" applyFont="1" applyFill="1" applyBorder="1" applyAlignment="1">
      <alignment horizontal="center" vertical="center"/>
    </xf>
    <xf numFmtId="165" fontId="53" fillId="5" borderId="14" xfId="0" applyNumberFormat="1" applyFont="1" applyFill="1" applyBorder="1" applyAlignment="1">
      <alignment horizontal="center"/>
    </xf>
    <xf numFmtId="165" fontId="20" fillId="5" borderId="32" xfId="0" applyNumberFormat="1" applyFont="1" applyFill="1" applyBorder="1" applyAlignment="1">
      <alignment horizontal="center"/>
    </xf>
    <xf numFmtId="165" fontId="20" fillId="5" borderId="16" xfId="0" applyNumberFormat="1" applyFont="1" applyFill="1" applyBorder="1" applyAlignment="1">
      <alignment horizontal="center"/>
    </xf>
    <xf numFmtId="0" fontId="9" fillId="5" borderId="0" xfId="0" applyFont="1" applyFill="1" applyBorder="1" applyAlignment="1"/>
    <xf numFmtId="0" fontId="3" fillId="5" borderId="0" xfId="0" applyFont="1" applyFill="1" applyBorder="1" applyAlignment="1">
      <alignment horizontal="center"/>
    </xf>
    <xf numFmtId="165" fontId="3" fillId="5" borderId="0" xfId="0" applyNumberFormat="1" applyFont="1" applyFill="1" applyBorder="1" applyAlignment="1">
      <alignment horizontal="center" vertical="center"/>
    </xf>
    <xf numFmtId="165" fontId="0" fillId="5" borderId="0" xfId="1" applyNumberFormat="1" applyFont="1" applyFill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0" fontId="3" fillId="0" borderId="4" xfId="0" applyNumberFormat="1" applyFont="1" applyBorder="1"/>
    <xf numFmtId="165" fontId="3" fillId="5" borderId="19" xfId="0" applyNumberFormat="1" applyFont="1" applyFill="1" applyBorder="1" applyAlignment="1">
      <alignment horizontal="center" vertical="center"/>
    </xf>
    <xf numFmtId="165" fontId="17" fillId="0" borderId="4" xfId="0" applyNumberFormat="1" applyFont="1" applyBorder="1"/>
    <xf numFmtId="0" fontId="14" fillId="0" borderId="20" xfId="0" applyFont="1" applyFill="1" applyBorder="1" applyAlignment="1">
      <alignment horizontal="left" vertical="center" wrapText="1"/>
    </xf>
    <xf numFmtId="165" fontId="0" fillId="0" borderId="23" xfId="0" applyNumberFormat="1" applyFill="1" applyBorder="1" applyAlignment="1">
      <alignment horizontal="center" vertical="center"/>
    </xf>
    <xf numFmtId="165" fontId="23" fillId="31" borderId="52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left" vertical="center" wrapText="1"/>
    </xf>
    <xf numFmtId="0" fontId="14" fillId="8" borderId="14" xfId="0" applyFont="1" applyFill="1" applyBorder="1" applyAlignment="1">
      <alignment horizontal="left" vertical="center" wrapText="1"/>
    </xf>
    <xf numFmtId="165" fontId="0" fillId="8" borderId="14" xfId="0" applyNumberForma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left" vertical="center"/>
    </xf>
    <xf numFmtId="0" fontId="21" fillId="5" borderId="15" xfId="0" applyFont="1" applyFill="1" applyBorder="1" applyAlignment="1">
      <alignment vertical="center"/>
    </xf>
    <xf numFmtId="0" fontId="21" fillId="5" borderId="19" xfId="0" applyFont="1" applyFill="1" applyBorder="1" applyAlignment="1">
      <alignment horizontal="center" vertical="center"/>
    </xf>
    <xf numFmtId="165" fontId="17" fillId="0" borderId="18" xfId="1" applyNumberFormat="1" applyFont="1" applyBorder="1" applyAlignment="1">
      <alignment horizontal="center" vertical="center"/>
    </xf>
    <xf numFmtId="165" fontId="17" fillId="0" borderId="19" xfId="1" applyNumberFormat="1" applyFont="1" applyBorder="1" applyAlignment="1">
      <alignment horizontal="center" vertical="center"/>
    </xf>
    <xf numFmtId="165" fontId="17" fillId="8" borderId="19" xfId="1" applyNumberFormat="1" applyFont="1" applyFill="1" applyBorder="1" applyAlignment="1">
      <alignment horizontal="center" vertical="center"/>
    </xf>
    <xf numFmtId="165" fontId="21" fillId="0" borderId="19" xfId="1" applyNumberFormat="1" applyFont="1" applyBorder="1" applyAlignment="1">
      <alignment horizontal="center" vertical="center"/>
    </xf>
    <xf numFmtId="0" fontId="17" fillId="8" borderId="14" xfId="0" applyFont="1" applyFill="1" applyBorder="1"/>
    <xf numFmtId="165" fontId="17" fillId="8" borderId="18" xfId="1" applyNumberFormat="1" applyFont="1" applyFill="1" applyBorder="1" applyAlignment="1">
      <alignment horizontal="center" vertical="center"/>
    </xf>
    <xf numFmtId="165" fontId="17" fillId="8" borderId="16" xfId="1" applyNumberFormat="1" applyFont="1" applyFill="1" applyBorder="1" applyAlignment="1">
      <alignment horizontal="center" vertical="center"/>
    </xf>
    <xf numFmtId="0" fontId="21" fillId="5" borderId="0" xfId="0" applyFont="1" applyFill="1" applyAlignment="1"/>
    <xf numFmtId="165" fontId="0" fillId="35" borderId="4" xfId="0" applyNumberFormat="1" applyFill="1" applyBorder="1" applyAlignment="1">
      <alignment horizontal="center" vertical="center"/>
    </xf>
    <xf numFmtId="0" fontId="13" fillId="32" borderId="14" xfId="0" applyFont="1" applyFill="1" applyBorder="1" applyAlignment="1">
      <alignment horizontal="center" vertical="center" wrapText="1"/>
    </xf>
    <xf numFmtId="0" fontId="13" fillId="33" borderId="14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9" fillId="31" borderId="14" xfId="0" applyFont="1" applyFill="1" applyBorder="1" applyAlignment="1">
      <alignment horizontal="left" vertical="center"/>
    </xf>
    <xf numFmtId="0" fontId="0" fillId="31" borderId="14" xfId="0" applyFill="1" applyBorder="1"/>
    <xf numFmtId="0" fontId="2" fillId="31" borderId="14" xfId="0" applyFont="1" applyFill="1" applyBorder="1"/>
    <xf numFmtId="0" fontId="14" fillId="5" borderId="14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3" fillId="32" borderId="20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27" fillId="32" borderId="53" xfId="0" applyFont="1" applyFill="1" applyBorder="1" applyAlignment="1">
      <alignment horizontal="center" vertical="center" wrapText="1"/>
    </xf>
    <xf numFmtId="0" fontId="27" fillId="32" borderId="54" xfId="0" applyFont="1" applyFill="1" applyBorder="1" applyAlignment="1">
      <alignment horizontal="center" vertical="center" wrapText="1"/>
    </xf>
    <xf numFmtId="0" fontId="2" fillId="31" borderId="54" xfId="0" applyFont="1" applyFill="1" applyBorder="1" applyAlignment="1">
      <alignment horizontal="center" vertical="center"/>
    </xf>
    <xf numFmtId="0" fontId="2" fillId="31" borderId="55" xfId="0" applyFont="1" applyFill="1" applyBorder="1" applyAlignment="1">
      <alignment horizontal="center" vertical="center"/>
    </xf>
    <xf numFmtId="165" fontId="0" fillId="0" borderId="57" xfId="0" applyNumberFormat="1" applyFont="1" applyBorder="1" applyAlignment="1">
      <alignment horizontal="center" vertical="center"/>
    </xf>
    <xf numFmtId="165" fontId="0" fillId="8" borderId="59" xfId="0" applyNumberFormat="1" applyFont="1" applyFill="1" applyBorder="1" applyAlignment="1">
      <alignment horizontal="center" vertical="center"/>
    </xf>
    <xf numFmtId="165" fontId="0" fillId="0" borderId="59" xfId="0" applyNumberFormat="1" applyFont="1" applyBorder="1" applyAlignment="1">
      <alignment horizontal="center" vertical="center"/>
    </xf>
    <xf numFmtId="165" fontId="17" fillId="8" borderId="59" xfId="1" applyNumberFormat="1" applyFont="1" applyFill="1" applyBorder="1" applyAlignment="1">
      <alignment horizontal="center" vertical="center"/>
    </xf>
    <xf numFmtId="165" fontId="17" fillId="0" borderId="59" xfId="1" applyNumberFormat="1" applyFont="1" applyBorder="1" applyAlignment="1">
      <alignment horizontal="center" vertical="center"/>
    </xf>
    <xf numFmtId="165" fontId="0" fillId="0" borderId="59" xfId="0" applyNumberFormat="1" applyFont="1" applyFill="1" applyBorder="1" applyAlignment="1">
      <alignment horizontal="center" vertical="center"/>
    </xf>
    <xf numFmtId="0" fontId="13" fillId="31" borderId="61" xfId="0" applyFont="1" applyFill="1" applyBorder="1" applyAlignment="1">
      <alignment horizontal="center" vertical="center" wrapText="1"/>
    </xf>
    <xf numFmtId="165" fontId="0" fillId="0" borderId="59" xfId="0" applyNumberFormat="1" applyBorder="1" applyAlignment="1">
      <alignment horizontal="center" vertical="center"/>
    </xf>
    <xf numFmtId="165" fontId="23" fillId="31" borderId="63" xfId="0" applyNumberFormat="1" applyFont="1" applyFill="1" applyBorder="1" applyAlignment="1">
      <alignment horizontal="center" vertical="center"/>
    </xf>
    <xf numFmtId="165" fontId="0" fillId="0" borderId="64" xfId="0" applyNumberFormat="1" applyFill="1" applyBorder="1" applyAlignment="1">
      <alignment horizontal="center" vertical="center"/>
    </xf>
    <xf numFmtId="165" fontId="0" fillId="8" borderId="59" xfId="0" applyNumberFormat="1" applyFill="1" applyBorder="1" applyAlignment="1">
      <alignment horizontal="center" vertical="center"/>
    </xf>
    <xf numFmtId="165" fontId="0" fillId="0" borderId="59" xfId="0" applyNumberFormat="1" applyFill="1" applyBorder="1" applyAlignment="1">
      <alignment horizontal="center" vertical="center"/>
    </xf>
    <xf numFmtId="0" fontId="13" fillId="31" borderId="62" xfId="0" applyFont="1" applyFill="1" applyBorder="1" applyAlignment="1">
      <alignment horizontal="center" vertical="center" wrapText="1"/>
    </xf>
    <xf numFmtId="165" fontId="23" fillId="31" borderId="67" xfId="0" applyNumberFormat="1" applyFont="1" applyFill="1" applyBorder="1" applyAlignment="1">
      <alignment horizontal="center" vertical="center"/>
    </xf>
    <xf numFmtId="165" fontId="2" fillId="31" borderId="70" xfId="0" applyNumberFormat="1" applyFont="1" applyFill="1" applyBorder="1" applyAlignment="1">
      <alignment horizontal="center" vertical="center"/>
    </xf>
    <xf numFmtId="165" fontId="2" fillId="31" borderId="71" xfId="0" applyNumberFormat="1" applyFont="1" applyFill="1" applyBorder="1" applyAlignment="1">
      <alignment horizontal="center" vertical="center"/>
    </xf>
    <xf numFmtId="166" fontId="2" fillId="4" borderId="15" xfId="1" applyNumberFormat="1" applyFont="1" applyFill="1" applyBorder="1" applyAlignment="1">
      <alignment horizontal="center"/>
    </xf>
    <xf numFmtId="166" fontId="2" fillId="4" borderId="15" xfId="0" applyNumberFormat="1" applyFont="1" applyFill="1" applyBorder="1" applyAlignment="1">
      <alignment horizontal="center"/>
    </xf>
    <xf numFmtId="166" fontId="2" fillId="4" borderId="15" xfId="1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65" fontId="0" fillId="36" borderId="0" xfId="1" applyNumberFormat="1" applyFont="1" applyFill="1"/>
    <xf numFmtId="165" fontId="3" fillId="36" borderId="19" xfId="0" applyNumberFormat="1" applyFont="1" applyFill="1" applyBorder="1" applyAlignment="1">
      <alignment horizontal="center" vertical="center"/>
    </xf>
    <xf numFmtId="165" fontId="3" fillId="0" borderId="0" xfId="1" applyNumberFormat="1" applyFont="1" applyAlignment="1">
      <alignment horizontal="center"/>
    </xf>
    <xf numFmtId="9" fontId="3" fillId="0" borderId="5" xfId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0" fontId="3" fillId="0" borderId="4" xfId="0" applyNumberFormat="1" applyFont="1" applyBorder="1"/>
    <xf numFmtId="0" fontId="0" fillId="0" borderId="0" xfId="0" applyAlignment="1">
      <alignment horizontal="center"/>
    </xf>
    <xf numFmtId="165" fontId="0" fillId="35" borderId="0" xfId="0" applyNumberFormat="1" applyFill="1"/>
    <xf numFmtId="165" fontId="0" fillId="4" borderId="0" xfId="0" applyNumberFormat="1" applyFill="1"/>
    <xf numFmtId="10" fontId="3" fillId="5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4" fillId="0" borderId="7" xfId="0" applyFont="1" applyFill="1" applyBorder="1" applyAlignment="1">
      <alignment horizontal="center" vertical="center" wrapText="1"/>
    </xf>
    <xf numFmtId="165" fontId="14" fillId="0" borderId="4" xfId="0" applyNumberFormat="1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65" fontId="14" fillId="0" borderId="3" xfId="0" applyNumberFormat="1" applyFont="1" applyFill="1" applyBorder="1" applyAlignment="1">
      <alignment horizontal="center" vertical="center" wrapText="1"/>
    </xf>
    <xf numFmtId="165" fontId="57" fillId="0" borderId="4" xfId="1" applyNumberFormat="1" applyFont="1" applyBorder="1"/>
    <xf numFmtId="166" fontId="57" fillId="0" borderId="4" xfId="1" applyNumberFormat="1" applyFont="1" applyBorder="1"/>
    <xf numFmtId="9" fontId="57" fillId="0" borderId="4" xfId="1" applyFont="1" applyBorder="1"/>
    <xf numFmtId="10" fontId="57" fillId="0" borderId="4" xfId="1" applyNumberFormat="1" applyFont="1" applyBorder="1"/>
    <xf numFmtId="165" fontId="56" fillId="0" borderId="14" xfId="0" applyNumberFormat="1" applyFont="1" applyBorder="1" applyAlignment="1">
      <alignment horizontal="center"/>
    </xf>
    <xf numFmtId="165" fontId="58" fillId="0" borderId="32" xfId="0" applyNumberFormat="1" applyFont="1" applyBorder="1" applyAlignment="1">
      <alignment horizontal="center"/>
    </xf>
    <xf numFmtId="165" fontId="58" fillId="5" borderId="32" xfId="0" applyNumberFormat="1" applyFont="1" applyFill="1" applyBorder="1" applyAlignment="1">
      <alignment horizontal="center"/>
    </xf>
    <xf numFmtId="165" fontId="58" fillId="0" borderId="16" xfId="0" applyNumberFormat="1" applyFont="1" applyBorder="1" applyAlignment="1">
      <alignment horizontal="center"/>
    </xf>
    <xf numFmtId="0" fontId="53" fillId="0" borderId="0" xfId="1286" applyFont="1" applyAlignment="1">
      <alignment horizontal="center" vertical="center" wrapText="1"/>
    </xf>
    <xf numFmtId="0" fontId="53" fillId="0" borderId="0" xfId="1286" applyFont="1"/>
    <xf numFmtId="0" fontId="61" fillId="0" borderId="0" xfId="1286" applyFont="1"/>
    <xf numFmtId="0" fontId="59" fillId="0" borderId="0" xfId="1286" applyFont="1" applyAlignment="1">
      <alignment horizontal="center" vertical="center"/>
    </xf>
    <xf numFmtId="0" fontId="26" fillId="0" borderId="0" xfId="1286" applyFont="1" applyBorder="1" applyAlignment="1">
      <alignment vertical="center" wrapText="1"/>
    </xf>
    <xf numFmtId="0" fontId="26" fillId="31" borderId="4" xfId="1286" applyFont="1" applyFill="1" applyBorder="1" applyAlignment="1">
      <alignment horizontal="center" vertical="center" wrapText="1"/>
    </xf>
    <xf numFmtId="0" fontId="26" fillId="5" borderId="4" xfId="1286" applyFont="1" applyFill="1" applyBorder="1" applyAlignment="1">
      <alignment horizontal="center" vertical="center" wrapText="1"/>
    </xf>
    <xf numFmtId="0" fontId="26" fillId="8" borderId="1" xfId="1286" applyFont="1" applyFill="1" applyBorder="1" applyAlignment="1">
      <alignment horizontal="center" vertical="center" wrapText="1"/>
    </xf>
    <xf numFmtId="3" fontId="26" fillId="31" borderId="4" xfId="1286" applyNumberFormat="1" applyFont="1" applyFill="1" applyBorder="1" applyAlignment="1">
      <alignment horizontal="center" vertical="center" wrapText="1"/>
    </xf>
    <xf numFmtId="3" fontId="26" fillId="39" borderId="4" xfId="1286" applyNumberFormat="1" applyFont="1" applyFill="1" applyBorder="1" applyAlignment="1">
      <alignment horizontal="center" vertical="center" wrapText="1"/>
    </xf>
    <xf numFmtId="9" fontId="59" fillId="0" borderId="0" xfId="1286" applyNumberFormat="1" applyFont="1" applyAlignment="1">
      <alignment horizontal="center" vertical="center"/>
    </xf>
    <xf numFmtId="9" fontId="59" fillId="0" borderId="0" xfId="1286" quotePrefix="1" applyNumberFormat="1" applyFont="1" applyAlignment="1">
      <alignment horizontal="center" vertical="center"/>
    </xf>
    <xf numFmtId="0" fontId="59" fillId="0" borderId="0" xfId="1286" quotePrefix="1" applyFont="1" applyAlignment="1">
      <alignment horizontal="center" vertical="center"/>
    </xf>
    <xf numFmtId="0" fontId="53" fillId="31" borderId="4" xfId="1286" applyFont="1" applyFill="1" applyBorder="1" applyAlignment="1">
      <alignment horizontal="center" vertical="center" wrapText="1"/>
    </xf>
    <xf numFmtId="0" fontId="53" fillId="5" borderId="4" xfId="1286" applyFont="1" applyFill="1" applyBorder="1" applyAlignment="1">
      <alignment horizontal="center" vertical="center" wrapText="1"/>
    </xf>
    <xf numFmtId="0" fontId="53" fillId="8" borderId="4" xfId="1286" applyFont="1" applyFill="1" applyBorder="1" applyAlignment="1">
      <alignment horizontal="center" vertical="center" wrapText="1"/>
    </xf>
    <xf numFmtId="167" fontId="53" fillId="0" borderId="4" xfId="1286" applyNumberFormat="1" applyFont="1" applyBorder="1" applyAlignment="1">
      <alignment horizontal="center" vertical="center" wrapText="1"/>
    </xf>
    <xf numFmtId="168" fontId="59" fillId="0" borderId="0" xfId="1286" applyNumberFormat="1" applyFont="1" applyAlignment="1">
      <alignment horizontal="center" vertical="center"/>
    </xf>
    <xf numFmtId="4" fontId="53" fillId="0" borderId="4" xfId="1286" applyNumberFormat="1" applyFont="1" applyBorder="1" applyAlignment="1">
      <alignment horizontal="center" vertical="center" wrapText="1"/>
    </xf>
    <xf numFmtId="3" fontId="53" fillId="0" borderId="4" xfId="1286" applyNumberFormat="1" applyFont="1" applyBorder="1" applyAlignment="1">
      <alignment horizontal="center" vertical="center" wrapText="1"/>
    </xf>
    <xf numFmtId="0" fontId="53" fillId="8" borderId="4" xfId="1286" quotePrefix="1" applyFont="1" applyFill="1" applyBorder="1" applyAlignment="1">
      <alignment horizontal="center" vertical="center" wrapText="1"/>
    </xf>
    <xf numFmtId="4" fontId="61" fillId="0" borderId="0" xfId="1286" applyNumberFormat="1" applyFont="1"/>
    <xf numFmtId="0" fontId="61" fillId="0" borderId="0" xfId="1286" applyFont="1" applyBorder="1"/>
    <xf numFmtId="0" fontId="59" fillId="0" borderId="0" xfId="1286" applyFont="1" applyBorder="1" applyAlignment="1">
      <alignment horizontal="center" vertical="center"/>
    </xf>
    <xf numFmtId="0" fontId="53" fillId="5" borderId="4" xfId="1286" quotePrefix="1" applyFont="1" applyFill="1" applyBorder="1" applyAlignment="1">
      <alignment horizontal="center" vertical="center" wrapText="1"/>
    </xf>
    <xf numFmtId="167" fontId="61" fillId="0" borderId="0" xfId="1286" applyNumberFormat="1" applyFont="1" applyBorder="1" applyAlignment="1">
      <alignment horizontal="center" vertical="center" wrapText="1"/>
    </xf>
    <xf numFmtId="167" fontId="59" fillId="0" borderId="0" xfId="1286" applyNumberFormat="1" applyFont="1" applyBorder="1" applyAlignment="1">
      <alignment horizontal="center" vertical="center" wrapText="1"/>
    </xf>
    <xf numFmtId="3" fontId="53" fillId="0" borderId="0" xfId="1286" applyNumberFormat="1" applyFont="1" applyAlignment="1">
      <alignment horizontal="center" vertical="center" wrapText="1"/>
    </xf>
    <xf numFmtId="3" fontId="53" fillId="0" borderId="0" xfId="1286" applyNumberFormat="1" applyFont="1" applyAlignment="1">
      <alignment horizontal="center" vertical="center"/>
    </xf>
    <xf numFmtId="0" fontId="3" fillId="0" borderId="0" xfId="1286" applyFont="1" applyAlignment="1">
      <alignment horizontal="center" vertical="center" wrapText="1"/>
    </xf>
    <xf numFmtId="167" fontId="3" fillId="0" borderId="0" xfId="1286" applyNumberFormat="1" applyFont="1"/>
    <xf numFmtId="0" fontId="62" fillId="0" borderId="0" xfId="1286" applyFont="1"/>
    <xf numFmtId="0" fontId="63" fillId="0" borderId="0" xfId="1286" applyFont="1" applyAlignment="1">
      <alignment horizontal="center" vertical="center"/>
    </xf>
    <xf numFmtId="0" fontId="3" fillId="0" borderId="0" xfId="1286" applyFont="1" applyBorder="1" applyAlignment="1">
      <alignment horizontal="center" vertical="center" wrapText="1"/>
    </xf>
    <xf numFmtId="0" fontId="9" fillId="0" borderId="0" xfId="1286" applyFont="1" applyBorder="1" applyAlignment="1">
      <alignment vertical="center" wrapText="1"/>
    </xf>
    <xf numFmtId="0" fontId="9" fillId="31" borderId="4" xfId="1286" applyFont="1" applyFill="1" applyBorder="1" applyAlignment="1">
      <alignment horizontal="center" vertical="center" wrapText="1"/>
    </xf>
    <xf numFmtId="0" fontId="9" fillId="5" borderId="4" xfId="1286" applyFont="1" applyFill="1" applyBorder="1" applyAlignment="1">
      <alignment horizontal="center" vertical="center" wrapText="1"/>
    </xf>
    <xf numFmtId="0" fontId="9" fillId="8" borderId="4" xfId="1286" applyFont="1" applyFill="1" applyBorder="1" applyAlignment="1">
      <alignment horizontal="center" vertical="center" wrapText="1"/>
    </xf>
    <xf numFmtId="3" fontId="9" fillId="31" borderId="4" xfId="1286" applyNumberFormat="1" applyFont="1" applyFill="1" applyBorder="1" applyAlignment="1">
      <alignment horizontal="center" vertical="center" wrapText="1"/>
    </xf>
    <xf numFmtId="167" fontId="9" fillId="39" borderId="4" xfId="1286" applyNumberFormat="1" applyFont="1" applyFill="1" applyBorder="1" applyAlignment="1">
      <alignment horizontal="center" vertical="center" wrapText="1"/>
    </xf>
    <xf numFmtId="0" fontId="3" fillId="31" borderId="4" xfId="1286" applyFont="1" applyFill="1" applyBorder="1" applyAlignment="1">
      <alignment horizontal="center" vertical="center" wrapText="1"/>
    </xf>
    <xf numFmtId="0" fontId="3" fillId="5" borderId="4" xfId="1286" applyFont="1" applyFill="1" applyBorder="1" applyAlignment="1">
      <alignment horizontal="center" vertical="center" wrapText="1"/>
    </xf>
    <xf numFmtId="0" fontId="3" fillId="8" borderId="1" xfId="1286" applyFont="1" applyFill="1" applyBorder="1" applyAlignment="1">
      <alignment horizontal="center" vertical="center" wrapText="1"/>
    </xf>
    <xf numFmtId="0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168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167" fontId="3" fillId="0" borderId="4" xfId="1286" applyNumberFormat="1" applyFont="1" applyBorder="1" applyAlignment="1">
      <alignment horizontal="center" vertical="center"/>
    </xf>
    <xf numFmtId="4" fontId="3" fillId="0" borderId="4" xfId="1286" applyNumberFormat="1" applyFont="1" applyBorder="1" applyAlignment="1">
      <alignment horizontal="center" vertical="center"/>
    </xf>
    <xf numFmtId="3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4" xfId="1286" applyNumberFormat="1" applyFont="1" applyBorder="1" applyAlignment="1">
      <alignment horizontal="center" vertical="center"/>
    </xf>
    <xf numFmtId="169" fontId="3" fillId="0" borderId="4" xfId="1286" applyNumberFormat="1" applyFont="1" applyBorder="1" applyAlignment="1" applyProtection="1">
      <alignment horizontal="center" vertical="center" wrapText="1"/>
      <protection locked="0"/>
    </xf>
    <xf numFmtId="169" fontId="3" fillId="0" borderId="4" xfId="1286" applyNumberFormat="1" applyFont="1" applyBorder="1" applyAlignment="1" applyProtection="1">
      <alignment horizontal="center" vertical="center"/>
      <protection locked="0"/>
    </xf>
    <xf numFmtId="168" fontId="3" fillId="0" borderId="4" xfId="1286" applyNumberFormat="1" applyFont="1" applyBorder="1" applyAlignment="1">
      <alignment horizontal="center" vertical="center"/>
    </xf>
    <xf numFmtId="0" fontId="3" fillId="8" borderId="1" xfId="1286" quotePrefix="1" applyFont="1" applyFill="1" applyBorder="1" applyAlignment="1">
      <alignment horizontal="center" vertical="center" wrapText="1"/>
    </xf>
    <xf numFmtId="167" fontId="3" fillId="40" borderId="4" xfId="1286" applyNumberFormat="1" applyFont="1" applyFill="1" applyBorder="1" applyAlignment="1" applyProtection="1">
      <alignment horizontal="center" vertical="center" wrapText="1"/>
      <protection locked="0"/>
    </xf>
    <xf numFmtId="0" fontId="3" fillId="5" borderId="3" xfId="1286" applyFont="1" applyFill="1" applyBorder="1" applyAlignment="1">
      <alignment horizontal="center" vertical="center" wrapText="1"/>
    </xf>
    <xf numFmtId="0" fontId="3" fillId="0" borderId="0" xfId="1286" applyFont="1"/>
    <xf numFmtId="0" fontId="3" fillId="0" borderId="4" xfId="2" applyFont="1" applyFill="1" applyBorder="1" applyAlignment="1" applyProtection="1">
      <alignment horizontal="center" vertical="center" wrapText="1"/>
      <protection locked="0"/>
    </xf>
    <xf numFmtId="0" fontId="3" fillId="5" borderId="4" xfId="1286" quotePrefix="1" applyFont="1" applyFill="1" applyBorder="1" applyAlignment="1">
      <alignment horizontal="center" vertical="center" wrapText="1"/>
    </xf>
    <xf numFmtId="167" fontId="3" fillId="0" borderId="4" xfId="1286" applyNumberFormat="1" applyFont="1" applyBorder="1" applyAlignment="1" applyProtection="1">
      <alignment horizontal="center" vertical="center"/>
      <protection locked="0"/>
    </xf>
    <xf numFmtId="3" fontId="3" fillId="0" borderId="4" xfId="1286" applyNumberFormat="1" applyFont="1" applyBorder="1" applyAlignment="1">
      <alignment horizontal="center" vertical="center" wrapText="1"/>
    </xf>
    <xf numFmtId="0" fontId="3" fillId="0" borderId="4" xfId="1286" applyFont="1" applyBorder="1" applyAlignment="1">
      <alignment horizontal="center" vertical="center" wrapText="1"/>
    </xf>
    <xf numFmtId="0" fontId="3" fillId="0" borderId="0" xfId="1286" applyFont="1" applyAlignment="1">
      <alignment horizontal="center" vertical="center"/>
    </xf>
    <xf numFmtId="0" fontId="61" fillId="0" borderId="0" xfId="1286" applyFont="1" applyBorder="1" applyAlignment="1">
      <alignment horizontal="center" vertical="center"/>
    </xf>
    <xf numFmtId="0" fontId="53" fillId="8" borderId="1" xfId="1286" applyFont="1" applyFill="1" applyBorder="1" applyAlignment="1">
      <alignment horizontal="center" vertical="center" wrapText="1"/>
    </xf>
    <xf numFmtId="167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168" fontId="61" fillId="0" borderId="0" xfId="1286" applyNumberFormat="1" applyFont="1" applyBorder="1" applyAlignment="1">
      <alignment horizontal="center" vertical="center"/>
    </xf>
    <xf numFmtId="2" fontId="3" fillId="0" borderId="4" xfId="1286" applyNumberFormat="1" applyFont="1" applyFill="1" applyBorder="1" applyAlignment="1" applyProtection="1">
      <alignment horizontal="center" vertical="center" wrapText="1"/>
      <protection locked="0"/>
    </xf>
    <xf numFmtId="3" fontId="3" fillId="0" borderId="4" xfId="1286" applyNumberFormat="1" applyFont="1" applyFill="1" applyBorder="1" applyAlignment="1" applyProtection="1">
      <alignment horizontal="center" vertical="center" wrapText="1"/>
      <protection locked="0"/>
    </xf>
    <xf numFmtId="0" fontId="53" fillId="8" borderId="1" xfId="1286" quotePrefix="1" applyFont="1" applyFill="1" applyBorder="1" applyAlignment="1">
      <alignment horizontal="center" vertical="center" wrapText="1"/>
    </xf>
    <xf numFmtId="168" fontId="3" fillId="0" borderId="4" xfId="1286" applyNumberFormat="1" applyFont="1" applyFill="1" applyBorder="1" applyAlignment="1" applyProtection="1">
      <alignment horizontal="center" vertical="center"/>
      <protection locked="0"/>
    </xf>
    <xf numFmtId="3" fontId="61" fillId="0" borderId="0" xfId="1286" applyNumberFormat="1" applyFont="1" applyBorder="1" applyAlignment="1">
      <alignment horizontal="center" vertical="center"/>
    </xf>
    <xf numFmtId="0" fontId="64" fillId="0" borderId="4" xfId="2" applyFont="1" applyFill="1" applyBorder="1" applyAlignment="1" applyProtection="1">
      <alignment horizontal="center" vertical="center" wrapText="1"/>
      <protection locked="0"/>
    </xf>
    <xf numFmtId="2" fontId="61" fillId="0" borderId="0" xfId="1286" applyNumberFormat="1" applyFont="1" applyBorder="1" applyAlignment="1">
      <alignment horizontal="center" vertical="center"/>
    </xf>
    <xf numFmtId="1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2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61" fillId="0" borderId="0" xfId="1286" applyNumberFormat="1" applyFont="1" applyBorder="1" applyAlignment="1">
      <alignment horizontal="center" vertical="center"/>
    </xf>
    <xf numFmtId="0" fontId="53" fillId="5" borderId="3" xfId="1286" applyFont="1" applyFill="1" applyBorder="1" applyAlignment="1">
      <alignment horizontal="center" vertical="center" wrapText="1"/>
    </xf>
    <xf numFmtId="0" fontId="60" fillId="0" borderId="0" xfId="1286" applyFont="1" applyAlignment="1">
      <alignment horizontal="center" vertical="center" wrapText="1"/>
    </xf>
    <xf numFmtId="0" fontId="53" fillId="0" borderId="0" xfId="1286" applyFont="1" applyAlignment="1">
      <alignment horizontal="center" vertical="center"/>
    </xf>
    <xf numFmtId="0" fontId="26" fillId="40" borderId="0" xfId="1286" applyFont="1" applyFill="1" applyBorder="1" applyAlignment="1">
      <alignment vertical="center" wrapText="1"/>
    </xf>
    <xf numFmtId="0" fontId="26" fillId="0" borderId="0" xfId="1286" applyFont="1" applyAlignment="1">
      <alignment horizontal="center" vertical="center" wrapText="1"/>
    </xf>
    <xf numFmtId="0" fontId="26" fillId="40" borderId="0" xfId="1286" applyFont="1" applyFill="1" applyBorder="1" applyAlignment="1">
      <alignment horizontal="center" vertical="center" wrapText="1"/>
    </xf>
    <xf numFmtId="0" fontId="26" fillId="0" borderId="0" xfId="1286" applyFont="1"/>
    <xf numFmtId="167" fontId="53" fillId="0" borderId="4" xfId="1286" applyNumberFormat="1" applyFont="1" applyBorder="1" applyAlignment="1" applyProtection="1">
      <alignment horizontal="center" vertical="center" wrapText="1"/>
      <protection locked="0"/>
    </xf>
    <xf numFmtId="4" fontId="53" fillId="0" borderId="4" xfId="1286" applyNumberFormat="1" applyFont="1" applyBorder="1" applyAlignment="1" applyProtection="1">
      <alignment horizontal="center" vertical="center" wrapText="1"/>
      <protection locked="0"/>
    </xf>
    <xf numFmtId="3" fontId="53" fillId="0" borderId="4" xfId="1286" applyNumberFormat="1" applyFont="1" applyBorder="1" applyAlignment="1" applyProtection="1">
      <alignment horizontal="center" vertical="center" wrapText="1"/>
      <protection locked="0"/>
    </xf>
    <xf numFmtId="168" fontId="53" fillId="40" borderId="0" xfId="1286" applyNumberFormat="1" applyFont="1" applyFill="1" applyBorder="1" applyAlignment="1">
      <alignment horizontal="center" vertical="center" wrapText="1"/>
    </xf>
    <xf numFmtId="3" fontId="53" fillId="40" borderId="0" xfId="1286" applyNumberFormat="1" applyFont="1" applyFill="1" applyBorder="1" applyAlignment="1">
      <alignment horizontal="center" vertical="center" wrapText="1"/>
    </xf>
    <xf numFmtId="165" fontId="53" fillId="0" borderId="0" xfId="114" applyNumberFormat="1" applyFont="1"/>
    <xf numFmtId="168" fontId="53" fillId="0" borderId="4" xfId="1286" applyNumberFormat="1" applyFont="1" applyBorder="1" applyAlignment="1">
      <alignment horizontal="center" vertical="center"/>
    </xf>
    <xf numFmtId="168" fontId="53" fillId="0" borderId="4" xfId="1286" applyNumberFormat="1" applyFont="1" applyBorder="1" applyAlignment="1">
      <alignment horizontal="center" vertical="center" wrapText="1"/>
    </xf>
    <xf numFmtId="1" fontId="53" fillId="0" borderId="0" xfId="1286" applyNumberFormat="1" applyFont="1" applyAlignment="1">
      <alignment horizontal="center" vertical="center" wrapText="1"/>
    </xf>
    <xf numFmtId="0" fontId="3" fillId="0" borderId="0" xfId="1286" applyFont="1" applyAlignment="1">
      <alignment vertical="center"/>
    </xf>
    <xf numFmtId="3" fontId="9" fillId="31" borderId="75" xfId="1286" applyNumberFormat="1" applyFont="1" applyFill="1" applyBorder="1" applyAlignment="1">
      <alignment horizontal="center" vertical="center" wrapText="1"/>
    </xf>
    <xf numFmtId="3" fontId="9" fillId="31" borderId="76" xfId="1286" applyNumberFormat="1" applyFont="1" applyFill="1" applyBorder="1" applyAlignment="1">
      <alignment horizontal="center" vertical="center" wrapText="1"/>
    </xf>
    <xf numFmtId="3" fontId="9" fillId="31" borderId="77" xfId="1286" applyNumberFormat="1" applyFont="1" applyFill="1" applyBorder="1" applyAlignment="1">
      <alignment horizontal="center" vertical="center" wrapText="1"/>
    </xf>
    <xf numFmtId="0" fontId="65" fillId="41" borderId="76" xfId="1286" applyFont="1" applyFill="1" applyBorder="1" applyAlignment="1">
      <alignment horizontal="center" vertical="center" wrapText="1"/>
    </xf>
    <xf numFmtId="0" fontId="65" fillId="42" borderId="76" xfId="1286" applyFont="1" applyFill="1" applyBorder="1" applyAlignment="1">
      <alignment horizontal="center" vertical="center" wrapText="1"/>
    </xf>
    <xf numFmtId="0" fontId="65" fillId="43" borderId="76" xfId="1286" applyFont="1" applyFill="1" applyBorder="1" applyAlignment="1">
      <alignment horizontal="center" vertical="center" wrapText="1"/>
    </xf>
    <xf numFmtId="0" fontId="66" fillId="2" borderId="78" xfId="1286" applyFont="1" applyFill="1" applyBorder="1" applyAlignment="1">
      <alignment horizontal="center" vertical="center" wrapText="1"/>
    </xf>
    <xf numFmtId="0" fontId="62" fillId="0" borderId="0" xfId="1286" applyFont="1" applyAlignment="1">
      <alignment horizontal="center" vertical="center"/>
    </xf>
    <xf numFmtId="0" fontId="3" fillId="0" borderId="79" xfId="1286" applyFont="1" applyBorder="1" applyAlignment="1">
      <alignment vertical="center"/>
    </xf>
    <xf numFmtId="3" fontId="9" fillId="31" borderId="80" xfId="1286" applyNumberFormat="1" applyFont="1" applyFill="1" applyBorder="1" applyAlignment="1">
      <alignment horizontal="center" vertical="center" wrapText="1"/>
    </xf>
    <xf numFmtId="3" fontId="9" fillId="31" borderId="81" xfId="1286" applyNumberFormat="1" applyFont="1" applyFill="1" applyBorder="1" applyAlignment="1">
      <alignment horizontal="center" vertical="center" wrapText="1"/>
    </xf>
    <xf numFmtId="3" fontId="9" fillId="31" borderId="82" xfId="1286" applyNumberFormat="1" applyFont="1" applyFill="1" applyBorder="1" applyAlignment="1">
      <alignment horizontal="center" vertical="center" wrapText="1"/>
    </xf>
    <xf numFmtId="0" fontId="65" fillId="41" borderId="80" xfId="1286" applyFont="1" applyFill="1" applyBorder="1" applyAlignment="1">
      <alignment horizontal="center" vertical="center" wrapText="1"/>
    </xf>
    <xf numFmtId="0" fontId="65" fillId="42" borderId="81" xfId="1286" applyFont="1" applyFill="1" applyBorder="1" applyAlignment="1">
      <alignment horizontal="center" vertical="center" wrapText="1"/>
    </xf>
    <xf numFmtId="0" fontId="65" fillId="43" borderId="81" xfId="1286" applyFont="1" applyFill="1" applyBorder="1" applyAlignment="1">
      <alignment horizontal="center" vertical="center" wrapText="1"/>
    </xf>
    <xf numFmtId="0" fontId="65" fillId="2" borderId="83" xfId="1286" applyFont="1" applyFill="1" applyBorder="1" applyAlignment="1">
      <alignment horizontal="center" vertical="center" wrapText="1"/>
    </xf>
    <xf numFmtId="0" fontId="3" fillId="44" borderId="84" xfId="1286" applyFont="1" applyFill="1" applyBorder="1" applyAlignment="1">
      <alignment horizontal="center" vertical="center" wrapText="1"/>
    </xf>
    <xf numFmtId="0" fontId="3" fillId="44" borderId="85" xfId="1286" applyFont="1" applyFill="1" applyBorder="1" applyAlignment="1">
      <alignment horizontal="center" vertical="center" wrapText="1"/>
    </xf>
    <xf numFmtId="170" fontId="3" fillId="0" borderId="86" xfId="175" applyNumberFormat="1" applyFont="1" applyBorder="1" applyAlignment="1">
      <alignment horizontal="center" vertical="center" wrapText="1"/>
    </xf>
    <xf numFmtId="170" fontId="67" fillId="41" borderId="86" xfId="175" applyNumberFormat="1" applyFont="1" applyFill="1" applyBorder="1" applyAlignment="1">
      <alignment horizontal="center" vertical="center" wrapText="1"/>
    </xf>
    <xf numFmtId="170" fontId="67" fillId="42" borderId="86" xfId="175" applyNumberFormat="1" applyFont="1" applyFill="1" applyBorder="1" applyAlignment="1">
      <alignment horizontal="center" vertical="center" wrapText="1"/>
    </xf>
    <xf numFmtId="170" fontId="67" fillId="43" borderId="86" xfId="175" applyNumberFormat="1" applyFont="1" applyFill="1" applyBorder="1" applyAlignment="1">
      <alignment horizontal="center" vertical="center" wrapText="1"/>
    </xf>
    <xf numFmtId="170" fontId="65" fillId="2" borderId="87" xfId="175" applyNumberFormat="1" applyFont="1" applyFill="1" applyBorder="1" applyAlignment="1">
      <alignment horizontal="center" vertical="center" wrapText="1"/>
    </xf>
    <xf numFmtId="168" fontId="62" fillId="0" borderId="0" xfId="1286" applyNumberFormat="1" applyFont="1" applyAlignment="1">
      <alignment horizontal="center" vertical="center"/>
    </xf>
    <xf numFmtId="0" fontId="3" fillId="0" borderId="88" xfId="1286" applyFont="1" applyFill="1" applyBorder="1" applyAlignment="1">
      <alignment horizontal="center" vertical="center" wrapText="1"/>
    </xf>
    <xf numFmtId="0" fontId="3" fillId="0" borderId="89" xfId="1286" applyFont="1" applyFill="1" applyBorder="1" applyAlignment="1">
      <alignment horizontal="center" vertical="center" wrapText="1"/>
    </xf>
    <xf numFmtId="168" fontId="3" fillId="40" borderId="90" xfId="175" applyNumberFormat="1" applyFont="1" applyFill="1" applyBorder="1" applyAlignment="1">
      <alignment horizontal="center" vertical="center" wrapText="1"/>
    </xf>
    <xf numFmtId="168" fontId="3" fillId="40" borderId="91" xfId="175" applyNumberFormat="1" applyFont="1" applyFill="1" applyBorder="1" applyAlignment="1">
      <alignment horizontal="center" vertical="center" wrapText="1"/>
    </xf>
    <xf numFmtId="168" fontId="3" fillId="40" borderId="92" xfId="175" applyNumberFormat="1" applyFont="1" applyFill="1" applyBorder="1" applyAlignment="1">
      <alignment horizontal="center" vertical="center" wrapText="1"/>
    </xf>
    <xf numFmtId="168" fontId="68" fillId="41" borderId="90" xfId="1286" applyNumberFormat="1" applyFont="1" applyFill="1" applyBorder="1" applyAlignment="1">
      <alignment horizontal="center" vertical="center" wrapText="1"/>
    </xf>
    <xf numFmtId="168" fontId="68" fillId="46" borderId="91" xfId="1286" applyNumberFormat="1" applyFont="1" applyFill="1" applyBorder="1" applyAlignment="1">
      <alignment horizontal="center" vertical="center" wrapText="1"/>
    </xf>
    <xf numFmtId="168" fontId="68" fillId="47" borderId="91" xfId="1286" applyNumberFormat="1" applyFont="1" applyFill="1" applyBorder="1" applyAlignment="1">
      <alignment horizontal="center" vertical="center" wrapText="1"/>
    </xf>
    <xf numFmtId="168" fontId="68" fillId="2" borderId="92" xfId="1286" applyNumberFormat="1" applyFont="1" applyFill="1" applyBorder="1" applyAlignment="1">
      <alignment horizontal="center" vertical="center" wrapText="1"/>
    </xf>
    <xf numFmtId="0" fontId="9" fillId="44" borderId="93" xfId="1286" applyFont="1" applyFill="1" applyBorder="1" applyAlignment="1">
      <alignment horizontal="center" vertical="center" wrapText="1"/>
    </xf>
    <xf numFmtId="0" fontId="9" fillId="44" borderId="86" xfId="1286" applyFont="1" applyFill="1" applyBorder="1" applyAlignment="1">
      <alignment horizontal="center" vertical="center" wrapText="1"/>
    </xf>
    <xf numFmtId="171" fontId="9" fillId="0" borderId="86" xfId="175" applyNumberFormat="1" applyFont="1" applyBorder="1" applyAlignment="1">
      <alignment horizontal="center" vertical="center" wrapText="1"/>
    </xf>
    <xf numFmtId="171" fontId="67" fillId="41" borderId="86" xfId="175" applyNumberFormat="1" applyFont="1" applyFill="1" applyBorder="1" applyAlignment="1">
      <alignment horizontal="center" vertical="center" wrapText="1"/>
    </xf>
    <xf numFmtId="171" fontId="67" fillId="42" borderId="86" xfId="175" applyNumberFormat="1" applyFont="1" applyFill="1" applyBorder="1" applyAlignment="1">
      <alignment horizontal="center" vertical="center" wrapText="1"/>
    </xf>
    <xf numFmtId="171" fontId="67" fillId="43" borderId="86" xfId="175" applyNumberFormat="1" applyFont="1" applyFill="1" applyBorder="1" applyAlignment="1">
      <alignment horizontal="center" vertical="center" wrapText="1"/>
    </xf>
    <xf numFmtId="171" fontId="65" fillId="2" borderId="94" xfId="175" applyNumberFormat="1" applyFont="1" applyFill="1" applyBorder="1" applyAlignment="1">
      <alignment horizontal="center" vertical="center" wrapText="1"/>
    </xf>
    <xf numFmtId="171" fontId="62" fillId="0" borderId="0" xfId="1286" applyNumberFormat="1" applyFont="1" applyAlignment="1">
      <alignment horizontal="center" vertical="center"/>
    </xf>
    <xf numFmtId="0" fontId="3" fillId="0" borderId="95" xfId="1286" applyFont="1" applyFill="1" applyBorder="1" applyAlignment="1">
      <alignment horizontal="center" vertical="center" wrapText="1"/>
    </xf>
    <xf numFmtId="0" fontId="3" fillId="0" borderId="96" xfId="1286" applyFont="1" applyFill="1" applyBorder="1" applyAlignment="1">
      <alignment horizontal="center" vertical="center" wrapText="1"/>
    </xf>
    <xf numFmtId="2" fontId="3" fillId="40" borderId="93" xfId="175" applyNumberFormat="1" applyFont="1" applyFill="1" applyBorder="1" applyAlignment="1">
      <alignment horizontal="center" vertical="center" wrapText="1"/>
    </xf>
    <xf numFmtId="2" fontId="3" fillId="40" borderId="86" xfId="175" applyNumberFormat="1" applyFont="1" applyFill="1" applyBorder="1" applyAlignment="1">
      <alignment horizontal="center" vertical="center" wrapText="1"/>
    </xf>
    <xf numFmtId="2" fontId="3" fillId="40" borderId="97" xfId="175" applyNumberFormat="1" applyFont="1" applyFill="1" applyBorder="1" applyAlignment="1">
      <alignment horizontal="center" vertical="center" wrapText="1"/>
    </xf>
    <xf numFmtId="2" fontId="68" fillId="41" borderId="93" xfId="1286" applyNumberFormat="1" applyFont="1" applyFill="1" applyBorder="1" applyAlignment="1">
      <alignment horizontal="center" vertical="center" wrapText="1"/>
    </xf>
    <xf numFmtId="2" fontId="68" fillId="46" borderId="86" xfId="1286" applyNumberFormat="1" applyFont="1" applyFill="1" applyBorder="1" applyAlignment="1">
      <alignment horizontal="center" vertical="center" wrapText="1"/>
    </xf>
    <xf numFmtId="2" fontId="68" fillId="47" borderId="86" xfId="1286" applyNumberFormat="1" applyFont="1" applyFill="1" applyBorder="1" applyAlignment="1">
      <alignment horizontal="center" vertical="center" wrapText="1"/>
    </xf>
    <xf numFmtId="2" fontId="68" fillId="2" borderId="97" xfId="1286" applyNumberFormat="1" applyFont="1" applyFill="1" applyBorder="1" applyAlignment="1">
      <alignment horizontal="center" vertical="center" wrapText="1"/>
    </xf>
    <xf numFmtId="2" fontId="62" fillId="0" borderId="0" xfId="1286" applyNumberFormat="1" applyFont="1" applyAlignment="1">
      <alignment horizontal="center" vertical="center"/>
    </xf>
    <xf numFmtId="0" fontId="3" fillId="44" borderId="93" xfId="1286" applyFont="1" applyFill="1" applyBorder="1" applyAlignment="1">
      <alignment horizontal="center" vertical="center" wrapText="1"/>
    </xf>
    <xf numFmtId="0" fontId="3" fillId="44" borderId="86" xfId="1286" applyFont="1" applyFill="1" applyBorder="1" applyAlignment="1">
      <alignment horizontal="center" vertical="center" wrapText="1"/>
    </xf>
    <xf numFmtId="3" fontId="3" fillId="40" borderId="93" xfId="175" applyNumberFormat="1" applyFont="1" applyFill="1" applyBorder="1" applyAlignment="1">
      <alignment horizontal="center" vertical="center" wrapText="1"/>
    </xf>
    <xf numFmtId="3" fontId="3" fillId="40" borderId="86" xfId="175" applyNumberFormat="1" applyFont="1" applyFill="1" applyBorder="1" applyAlignment="1">
      <alignment horizontal="center" vertical="center" wrapText="1"/>
    </xf>
    <xf numFmtId="3" fontId="3" fillId="40" borderId="97" xfId="175" applyNumberFormat="1" applyFont="1" applyFill="1" applyBorder="1" applyAlignment="1">
      <alignment horizontal="center" vertical="center" wrapText="1"/>
    </xf>
    <xf numFmtId="3" fontId="68" fillId="41" borderId="93" xfId="1286" applyNumberFormat="1" applyFont="1" applyFill="1" applyBorder="1" applyAlignment="1">
      <alignment horizontal="center" vertical="center" wrapText="1"/>
    </xf>
    <xf numFmtId="3" fontId="68" fillId="46" borderId="86" xfId="1286" applyNumberFormat="1" applyFont="1" applyFill="1" applyBorder="1" applyAlignment="1">
      <alignment horizontal="center" vertical="center" wrapText="1"/>
    </xf>
    <xf numFmtId="3" fontId="68" fillId="47" borderId="86" xfId="1286" applyNumberFormat="1" applyFont="1" applyFill="1" applyBorder="1" applyAlignment="1">
      <alignment horizontal="center" vertical="center" wrapText="1"/>
    </xf>
    <xf numFmtId="3" fontId="68" fillId="2" borderId="97" xfId="1286" applyNumberFormat="1" applyFont="1" applyFill="1" applyBorder="1" applyAlignment="1">
      <alignment horizontal="center" vertical="center" wrapText="1"/>
    </xf>
    <xf numFmtId="3" fontId="62" fillId="0" borderId="0" xfId="1286" applyNumberFormat="1" applyFont="1" applyAlignment="1">
      <alignment horizontal="center" vertical="center"/>
    </xf>
    <xf numFmtId="1" fontId="62" fillId="0" borderId="0" xfId="1286" applyNumberFormat="1" applyFont="1" applyAlignment="1">
      <alignment horizontal="center" vertical="center"/>
    </xf>
    <xf numFmtId="172" fontId="3" fillId="0" borderId="86" xfId="175" applyNumberFormat="1" applyFont="1" applyBorder="1" applyAlignment="1">
      <alignment horizontal="center" vertical="center" wrapText="1"/>
    </xf>
    <xf numFmtId="172" fontId="67" fillId="41" borderId="86" xfId="175" applyNumberFormat="1" applyFont="1" applyFill="1" applyBorder="1" applyAlignment="1">
      <alignment horizontal="center" vertical="center" wrapText="1"/>
    </xf>
    <xf numFmtId="172" fontId="67" fillId="42" borderId="86" xfId="175" applyNumberFormat="1" applyFont="1" applyFill="1" applyBorder="1" applyAlignment="1">
      <alignment horizontal="center" vertical="center" wrapText="1"/>
    </xf>
    <xf numFmtId="172" fontId="67" fillId="43" borderId="86" xfId="175" applyNumberFormat="1" applyFont="1" applyFill="1" applyBorder="1" applyAlignment="1">
      <alignment horizontal="center" vertical="center" wrapText="1"/>
    </xf>
    <xf numFmtId="172" fontId="65" fillId="2" borderId="94" xfId="175" applyNumberFormat="1" applyFont="1" applyFill="1" applyBorder="1" applyAlignment="1">
      <alignment horizontal="center" vertical="center" wrapText="1"/>
    </xf>
    <xf numFmtId="168" fontId="3" fillId="40" borderId="93" xfId="175" applyNumberFormat="1" applyFont="1" applyFill="1" applyBorder="1" applyAlignment="1">
      <alignment horizontal="center" vertical="center" wrapText="1"/>
    </xf>
    <xf numFmtId="168" fontId="3" fillId="40" borderId="86" xfId="175" applyNumberFormat="1" applyFont="1" applyFill="1" applyBorder="1" applyAlignment="1">
      <alignment horizontal="center" vertical="center" wrapText="1"/>
    </xf>
    <xf numFmtId="168" fontId="3" fillId="40" borderId="97" xfId="175" applyNumberFormat="1" applyFont="1" applyFill="1" applyBorder="1" applyAlignment="1">
      <alignment horizontal="center" vertical="center" wrapText="1"/>
    </xf>
    <xf numFmtId="168" fontId="68" fillId="41" borderId="93" xfId="1286" applyNumberFormat="1" applyFont="1" applyFill="1" applyBorder="1" applyAlignment="1">
      <alignment horizontal="center" vertical="center" wrapText="1"/>
    </xf>
    <xf numFmtId="168" fontId="68" fillId="46" borderId="86" xfId="1286" applyNumberFormat="1" applyFont="1" applyFill="1" applyBorder="1" applyAlignment="1">
      <alignment horizontal="center" vertical="center" wrapText="1"/>
    </xf>
    <xf numFmtId="168" fontId="68" fillId="47" borderId="86" xfId="1286" applyNumberFormat="1" applyFont="1" applyFill="1" applyBorder="1" applyAlignment="1">
      <alignment horizontal="center" vertical="center" wrapText="1"/>
    </xf>
    <xf numFmtId="168" fontId="68" fillId="2" borderId="97" xfId="1286" applyNumberFormat="1" applyFont="1" applyFill="1" applyBorder="1" applyAlignment="1">
      <alignment horizontal="center" vertical="center" wrapText="1"/>
    </xf>
    <xf numFmtId="0" fontId="9" fillId="0" borderId="98" xfId="1286" applyFont="1" applyFill="1" applyBorder="1" applyAlignment="1">
      <alignment horizontal="center" vertical="center" wrapText="1"/>
    </xf>
    <xf numFmtId="0" fontId="9" fillId="0" borderId="99" xfId="1286" applyFont="1" applyFill="1" applyBorder="1" applyAlignment="1">
      <alignment horizontal="center" vertical="center" wrapText="1"/>
    </xf>
    <xf numFmtId="3" fontId="3" fillId="40" borderId="100" xfId="175" applyNumberFormat="1" applyFont="1" applyFill="1" applyBorder="1" applyAlignment="1">
      <alignment horizontal="center" vertical="center" wrapText="1"/>
    </xf>
    <xf numFmtId="3" fontId="3" fillId="40" borderId="101" xfId="175" applyNumberFormat="1" applyFont="1" applyFill="1" applyBorder="1" applyAlignment="1">
      <alignment horizontal="center" vertical="center" wrapText="1"/>
    </xf>
    <xf numFmtId="3" fontId="3" fillId="40" borderId="102" xfId="175" applyNumberFormat="1" applyFont="1" applyFill="1" applyBorder="1" applyAlignment="1">
      <alignment horizontal="center" vertical="center" wrapText="1"/>
    </xf>
    <xf numFmtId="3" fontId="68" fillId="41" borderId="100" xfId="1286" applyNumberFormat="1" applyFont="1" applyFill="1" applyBorder="1" applyAlignment="1">
      <alignment horizontal="center" vertical="center" wrapText="1"/>
    </xf>
    <xf numFmtId="3" fontId="68" fillId="46" borderId="101" xfId="1286" applyNumberFormat="1" applyFont="1" applyFill="1" applyBorder="1" applyAlignment="1">
      <alignment horizontal="center" vertical="center" wrapText="1"/>
    </xf>
    <xf numFmtId="3" fontId="68" fillId="47" borderId="101" xfId="1286" applyNumberFormat="1" applyFont="1" applyFill="1" applyBorder="1" applyAlignment="1">
      <alignment horizontal="center" vertical="center" wrapText="1"/>
    </xf>
    <xf numFmtId="3" fontId="68" fillId="2" borderId="102" xfId="1286" applyNumberFormat="1" applyFont="1" applyFill="1" applyBorder="1" applyAlignment="1">
      <alignment horizontal="center" vertical="center" wrapText="1"/>
    </xf>
    <xf numFmtId="0" fontId="3" fillId="0" borderId="103" xfId="1286" applyFont="1" applyFill="1" applyBorder="1" applyAlignment="1">
      <alignment horizontal="center" vertical="center" wrapText="1"/>
    </xf>
    <xf numFmtId="0" fontId="9" fillId="0" borderId="95" xfId="1286" applyFont="1" applyFill="1" applyBorder="1" applyAlignment="1">
      <alignment horizontal="center" vertical="center" wrapText="1"/>
    </xf>
    <xf numFmtId="0" fontId="9" fillId="0" borderId="104" xfId="1286" applyFont="1" applyFill="1" applyBorder="1" applyAlignment="1">
      <alignment horizontal="center" vertical="center" wrapText="1"/>
    </xf>
    <xf numFmtId="171" fontId="3" fillId="0" borderId="86" xfId="175" applyNumberFormat="1" applyFont="1" applyBorder="1" applyAlignment="1">
      <alignment horizontal="center" vertical="center" wrapText="1"/>
    </xf>
    <xf numFmtId="171" fontId="69" fillId="41" borderId="86" xfId="175" applyNumberFormat="1" applyFont="1" applyFill="1" applyBorder="1" applyAlignment="1">
      <alignment horizontal="center" vertical="center" wrapText="1"/>
    </xf>
    <xf numFmtId="171" fontId="69" fillId="42" borderId="86" xfId="175" applyNumberFormat="1" applyFont="1" applyFill="1" applyBorder="1" applyAlignment="1">
      <alignment horizontal="center" vertical="center" wrapText="1"/>
    </xf>
    <xf numFmtId="171" fontId="69" fillId="43" borderId="86" xfId="175" applyNumberFormat="1" applyFont="1" applyFill="1" applyBorder="1" applyAlignment="1">
      <alignment horizontal="center" vertical="center" wrapText="1"/>
    </xf>
    <xf numFmtId="171" fontId="20" fillId="2" borderId="94" xfId="175" quotePrefix="1" applyNumberFormat="1" applyFont="1" applyFill="1" applyBorder="1" applyAlignment="1">
      <alignment horizontal="center" vertical="center"/>
    </xf>
    <xf numFmtId="171" fontId="3" fillId="0" borderId="0" xfId="1286" applyNumberFormat="1" applyFont="1" applyAlignment="1">
      <alignment horizontal="center" vertical="center"/>
    </xf>
    <xf numFmtId="0" fontId="3" fillId="44" borderId="100" xfId="1286" applyFont="1" applyFill="1" applyBorder="1" applyAlignment="1">
      <alignment horizontal="center" vertical="center" wrapText="1"/>
    </xf>
    <xf numFmtId="0" fontId="3" fillId="44" borderId="101" xfId="1286" applyFont="1" applyFill="1" applyBorder="1" applyAlignment="1">
      <alignment horizontal="center" vertical="center" wrapText="1"/>
    </xf>
    <xf numFmtId="171" fontId="3" fillId="0" borderId="101" xfId="175" applyNumberFormat="1" applyFont="1" applyBorder="1" applyAlignment="1">
      <alignment horizontal="center" vertical="center" wrapText="1"/>
    </xf>
    <xf numFmtId="171" fontId="69" fillId="41" borderId="101" xfId="175" applyNumberFormat="1" applyFont="1" applyFill="1" applyBorder="1" applyAlignment="1">
      <alignment horizontal="center" vertical="center" wrapText="1"/>
    </xf>
    <xf numFmtId="171" fontId="69" fillId="42" borderId="101" xfId="175" applyNumberFormat="1" applyFont="1" applyFill="1" applyBorder="1" applyAlignment="1">
      <alignment horizontal="center" vertical="center" wrapText="1"/>
    </xf>
    <xf numFmtId="171" fontId="69" fillId="43" borderId="101" xfId="175" applyNumberFormat="1" applyFont="1" applyFill="1" applyBorder="1" applyAlignment="1">
      <alignment horizontal="center" vertical="center" wrapText="1"/>
    </xf>
    <xf numFmtId="171" fontId="20" fillId="2" borderId="105" xfId="175" quotePrefix="1" applyNumberFormat="1" applyFont="1" applyFill="1" applyBorder="1" applyAlignment="1">
      <alignment horizontal="center" vertical="center"/>
    </xf>
    <xf numFmtId="0" fontId="9" fillId="0" borderId="106" xfId="1286" applyFont="1" applyFill="1" applyBorder="1" applyAlignment="1">
      <alignment horizontal="center" vertical="center" wrapText="1"/>
    </xf>
    <xf numFmtId="0" fontId="3" fillId="0" borderId="107" xfId="1286" applyFont="1" applyFill="1" applyBorder="1" applyAlignment="1">
      <alignment horizontal="center" vertical="center" wrapText="1"/>
    </xf>
    <xf numFmtId="165" fontId="3" fillId="0" borderId="90" xfId="114" applyNumberFormat="1" applyFont="1" applyFill="1" applyBorder="1" applyAlignment="1">
      <alignment horizontal="center" vertical="center" wrapText="1"/>
    </xf>
    <xf numFmtId="165" fontId="3" fillId="0" borderId="91" xfId="114" applyNumberFormat="1" applyFont="1" applyFill="1" applyBorder="1" applyAlignment="1">
      <alignment horizontal="center" vertical="center" wrapText="1"/>
    </xf>
    <xf numFmtId="165" fontId="3" fillId="0" borderId="92" xfId="114" applyNumberFormat="1" applyFont="1" applyFill="1" applyBorder="1" applyAlignment="1">
      <alignment horizontal="center" vertical="center" wrapText="1"/>
    </xf>
    <xf numFmtId="165" fontId="68" fillId="41" borderId="84" xfId="114" applyNumberFormat="1" applyFont="1" applyFill="1" applyBorder="1" applyAlignment="1">
      <alignment horizontal="center" vertical="center" wrapText="1"/>
    </xf>
    <xf numFmtId="165" fontId="68" fillId="46" borderId="85" xfId="114" applyNumberFormat="1" applyFont="1" applyFill="1" applyBorder="1" applyAlignment="1">
      <alignment horizontal="center" vertical="center" wrapText="1"/>
    </xf>
    <xf numFmtId="165" fontId="68" fillId="47" borderId="85" xfId="114" applyNumberFormat="1" applyFont="1" applyFill="1" applyBorder="1" applyAlignment="1">
      <alignment horizontal="center" vertical="center" wrapText="1"/>
    </xf>
    <xf numFmtId="165" fontId="68" fillId="2" borderId="108" xfId="114" quotePrefix="1" applyNumberFormat="1" applyFont="1" applyFill="1" applyBorder="1" applyAlignment="1">
      <alignment horizontal="center" vertical="center" wrapText="1"/>
    </xf>
    <xf numFmtId="0" fontId="3" fillId="0" borderId="104" xfId="1286" applyFont="1" applyFill="1" applyBorder="1" applyAlignment="1">
      <alignment horizontal="center" vertical="center" wrapText="1"/>
    </xf>
    <xf numFmtId="165" fontId="3" fillId="0" borderId="93" xfId="114" applyNumberFormat="1" applyFont="1" applyFill="1" applyBorder="1" applyAlignment="1">
      <alignment horizontal="center" vertical="center" wrapText="1"/>
    </xf>
    <xf numFmtId="165" fontId="3" fillId="0" borderId="86" xfId="114" applyNumberFormat="1" applyFont="1" applyFill="1" applyBorder="1" applyAlignment="1">
      <alignment horizontal="center" vertical="center" wrapText="1"/>
    </xf>
    <xf numFmtId="165" fontId="3" fillId="0" borderId="97" xfId="114" applyNumberFormat="1" applyFont="1" applyFill="1" applyBorder="1" applyAlignment="1">
      <alignment horizontal="center" vertical="center" wrapText="1"/>
    </xf>
    <xf numFmtId="165" fontId="68" fillId="41" borderId="93" xfId="114" applyNumberFormat="1" applyFont="1" applyFill="1" applyBorder="1" applyAlignment="1">
      <alignment horizontal="center" vertical="center" wrapText="1"/>
    </xf>
    <xf numFmtId="165" fontId="68" fillId="46" borderId="86" xfId="114" applyNumberFormat="1" applyFont="1" applyFill="1" applyBorder="1" applyAlignment="1">
      <alignment horizontal="center" vertical="center" wrapText="1"/>
    </xf>
    <xf numFmtId="165" fontId="68" fillId="47" borderId="86" xfId="114" applyNumberFormat="1" applyFont="1" applyFill="1" applyBorder="1" applyAlignment="1">
      <alignment horizontal="center" vertical="center" wrapText="1"/>
    </xf>
    <xf numFmtId="165" fontId="68" fillId="2" borderId="97" xfId="114" quotePrefix="1" applyNumberFormat="1" applyFont="1" applyFill="1" applyBorder="1" applyAlignment="1">
      <alignment horizontal="center" vertical="center" wrapText="1"/>
    </xf>
    <xf numFmtId="0" fontId="3" fillId="0" borderId="98" xfId="1286" applyFont="1" applyFill="1" applyBorder="1" applyAlignment="1">
      <alignment horizontal="center" vertical="center" wrapText="1"/>
    </xf>
    <xf numFmtId="0" fontId="3" fillId="0" borderId="106" xfId="1286" applyFont="1" applyFill="1" applyBorder="1" applyAlignment="1">
      <alignment horizontal="center" vertical="center" wrapText="1"/>
    </xf>
    <xf numFmtId="165" fontId="3" fillId="0" borderId="100" xfId="114" applyNumberFormat="1" applyFont="1" applyFill="1" applyBorder="1" applyAlignment="1">
      <alignment horizontal="center" vertical="center" wrapText="1"/>
    </xf>
    <xf numFmtId="165" fontId="3" fillId="0" borderId="101" xfId="114" applyNumberFormat="1" applyFont="1" applyFill="1" applyBorder="1" applyAlignment="1">
      <alignment horizontal="center" vertical="center" wrapText="1"/>
    </xf>
    <xf numFmtId="165" fontId="3" fillId="0" borderId="102" xfId="114" applyNumberFormat="1" applyFont="1" applyFill="1" applyBorder="1" applyAlignment="1">
      <alignment horizontal="center" vertical="center" wrapText="1"/>
    </xf>
    <xf numFmtId="10" fontId="68" fillId="41" borderId="100" xfId="114" applyNumberFormat="1" applyFont="1" applyFill="1" applyBorder="1" applyAlignment="1">
      <alignment horizontal="center" vertical="center" wrapText="1"/>
    </xf>
    <xf numFmtId="165" fontId="68" fillId="46" borderId="101" xfId="114" applyNumberFormat="1" applyFont="1" applyFill="1" applyBorder="1" applyAlignment="1">
      <alignment horizontal="center" vertical="center" wrapText="1"/>
    </xf>
    <xf numFmtId="165" fontId="68" fillId="43" borderId="101" xfId="114" applyNumberFormat="1" applyFont="1" applyFill="1" applyBorder="1" applyAlignment="1">
      <alignment horizontal="center" vertical="center" wrapText="1"/>
    </xf>
    <xf numFmtId="165" fontId="68" fillId="2" borderId="102" xfId="114" quotePrefix="1" applyNumberFormat="1" applyFont="1" applyFill="1" applyBorder="1" applyAlignment="1">
      <alignment horizontal="center" vertical="center" wrapText="1"/>
    </xf>
    <xf numFmtId="168" fontId="3" fillId="0" borderId="0" xfId="1286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14" fillId="3" borderId="4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65" fontId="14" fillId="0" borderId="4" xfId="0" applyNumberFormat="1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165" fontId="14" fillId="0" borderId="3" xfId="0" applyNumberFormat="1" applyFont="1" applyFill="1" applyBorder="1" applyAlignment="1">
      <alignment horizontal="center" vertical="center" wrapText="1"/>
    </xf>
    <xf numFmtId="165" fontId="14" fillId="0" borderId="13" xfId="0" applyNumberFormat="1" applyFont="1" applyFill="1" applyBorder="1" applyAlignment="1">
      <alignment horizontal="center" vertical="center" wrapText="1"/>
    </xf>
    <xf numFmtId="165" fontId="14" fillId="0" borderId="5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10" fontId="14" fillId="0" borderId="4" xfId="0" applyNumberFormat="1" applyFont="1" applyFill="1" applyBorder="1" applyAlignment="1">
      <alignment horizontal="center" vertical="center" wrapText="1"/>
    </xf>
    <xf numFmtId="0" fontId="19" fillId="4" borderId="42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1" borderId="14" xfId="0" applyFill="1" applyBorder="1" applyAlignment="1">
      <alignment horizontal="center" vertical="center"/>
    </xf>
    <xf numFmtId="0" fontId="2" fillId="31" borderId="14" xfId="0" applyFont="1" applyFill="1" applyBorder="1" applyAlignment="1">
      <alignment horizontal="center" vertical="center"/>
    </xf>
    <xf numFmtId="0" fontId="3" fillId="31" borderId="23" xfId="0" applyFont="1" applyFill="1" applyBorder="1" applyAlignment="1">
      <alignment horizontal="center"/>
    </xf>
    <xf numFmtId="0" fontId="3" fillId="31" borderId="14" xfId="0" applyFont="1" applyFill="1" applyBorder="1" applyAlignment="1">
      <alignment horizontal="center"/>
    </xf>
    <xf numFmtId="0" fontId="11" fillId="31" borderId="14" xfId="0" applyFont="1" applyFill="1" applyBorder="1" applyAlignment="1">
      <alignment horizontal="center" vertical="center" wrapText="1"/>
    </xf>
    <xf numFmtId="0" fontId="12" fillId="31" borderId="14" xfId="0" applyFont="1" applyFill="1" applyBorder="1" applyAlignment="1">
      <alignment horizontal="center" vertical="center" wrapText="1"/>
    </xf>
    <xf numFmtId="166" fontId="2" fillId="31" borderId="14" xfId="1" applyNumberFormat="1" applyFont="1" applyFill="1" applyBorder="1" applyAlignment="1">
      <alignment horizontal="center"/>
    </xf>
    <xf numFmtId="0" fontId="28" fillId="31" borderId="62" xfId="0" applyFont="1" applyFill="1" applyBorder="1" applyAlignment="1">
      <alignment horizontal="left" vertical="center" wrapText="1"/>
    </xf>
    <xf numFmtId="0" fontId="28" fillId="31" borderId="26" xfId="0" applyFont="1" applyFill="1" applyBorder="1" applyAlignment="1">
      <alignment horizontal="left" vertical="center" wrapText="1"/>
    </xf>
    <xf numFmtId="0" fontId="28" fillId="31" borderId="66" xfId="0" applyFont="1" applyFill="1" applyBorder="1" applyAlignment="1">
      <alignment horizontal="left" vertical="center" wrapText="1"/>
    </xf>
    <xf numFmtId="0" fontId="28" fillId="31" borderId="27" xfId="0" applyFont="1" applyFill="1" applyBorder="1" applyAlignment="1">
      <alignment horizontal="left" vertical="center" wrapText="1"/>
    </xf>
    <xf numFmtId="0" fontId="29" fillId="31" borderId="68" xfId="0" applyFont="1" applyFill="1" applyBorder="1" applyAlignment="1">
      <alignment horizontal="left" vertical="center"/>
    </xf>
    <xf numFmtId="0" fontId="29" fillId="31" borderId="69" xfId="0" applyFont="1" applyFill="1" applyBorder="1" applyAlignment="1">
      <alignment horizontal="left" vertical="center"/>
    </xf>
    <xf numFmtId="165" fontId="22" fillId="0" borderId="14" xfId="0" applyNumberFormat="1" applyFont="1" applyBorder="1" applyAlignment="1">
      <alignment horizontal="center" vertical="center"/>
    </xf>
    <xf numFmtId="0" fontId="26" fillId="31" borderId="14" xfId="0" applyFont="1" applyFill="1" applyBorder="1" applyAlignment="1">
      <alignment horizontal="left" vertical="center"/>
    </xf>
    <xf numFmtId="0" fontId="13" fillId="31" borderId="56" xfId="0" applyFont="1" applyFill="1" applyBorder="1" applyAlignment="1">
      <alignment horizontal="center" vertical="center" wrapText="1"/>
    </xf>
    <xf numFmtId="0" fontId="13" fillId="31" borderId="58" xfId="0" applyFont="1" applyFill="1" applyBorder="1" applyAlignment="1">
      <alignment horizontal="center" vertical="center" wrapText="1"/>
    </xf>
    <xf numFmtId="0" fontId="13" fillId="31" borderId="60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/>
    </xf>
    <xf numFmtId="0" fontId="2" fillId="31" borderId="1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1" fillId="5" borderId="15" xfId="0" applyFont="1" applyFill="1" applyBorder="1" applyAlignment="1">
      <alignment vertical="center"/>
    </xf>
    <xf numFmtId="0" fontId="13" fillId="31" borderId="14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center"/>
    </xf>
    <xf numFmtId="0" fontId="13" fillId="31" borderId="61" xfId="0" applyFont="1" applyFill="1" applyBorder="1" applyAlignment="1">
      <alignment horizontal="center" vertical="center" wrapText="1"/>
    </xf>
    <xf numFmtId="0" fontId="13" fillId="31" borderId="65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vertical="center" wrapText="1"/>
    </xf>
    <xf numFmtId="0" fontId="21" fillId="5" borderId="22" xfId="0" applyFont="1" applyFill="1" applyBorder="1" applyAlignment="1">
      <alignment vertical="center" wrapText="1"/>
    </xf>
    <xf numFmtId="0" fontId="21" fillId="5" borderId="16" xfId="0" applyFont="1" applyFill="1" applyBorder="1" applyAlignment="1">
      <alignment vertical="center" wrapText="1"/>
    </xf>
    <xf numFmtId="0" fontId="21" fillId="5" borderId="23" xfId="0" applyFont="1" applyFill="1" applyBorder="1" applyAlignment="1">
      <alignment horizontal="left" vertical="center" wrapText="1"/>
    </xf>
    <xf numFmtId="0" fontId="21" fillId="5" borderId="16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26" fillId="31" borderId="14" xfId="0" applyFont="1" applyFill="1" applyBorder="1" applyAlignment="1">
      <alignment horizontal="center" vertical="center"/>
    </xf>
    <xf numFmtId="0" fontId="0" fillId="31" borderId="14" xfId="0" applyFill="1" applyBorder="1" applyAlignment="1">
      <alignment horizontal="center"/>
    </xf>
    <xf numFmtId="2" fontId="2" fillId="31" borderId="14" xfId="0" applyNumberFormat="1" applyFont="1" applyFill="1" applyBorder="1" applyAlignment="1">
      <alignment horizontal="center"/>
    </xf>
    <xf numFmtId="165" fontId="2" fillId="31" borderId="14" xfId="1" applyNumberFormat="1" applyFont="1" applyFill="1" applyBorder="1" applyAlignment="1">
      <alignment horizontal="center"/>
    </xf>
    <xf numFmtId="0" fontId="14" fillId="5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30" fillId="31" borderId="14" xfId="0" applyFont="1" applyFill="1" applyBorder="1" applyAlignment="1">
      <alignment horizontal="center" vertical="center" wrapText="1"/>
    </xf>
    <xf numFmtId="165" fontId="2" fillId="31" borderId="14" xfId="1" applyNumberFormat="1" applyFont="1" applyFill="1" applyBorder="1" applyAlignment="1">
      <alignment horizontal="center" vertical="center"/>
    </xf>
    <xf numFmtId="2" fontId="2" fillId="31" borderId="14" xfId="0" applyNumberFormat="1" applyFont="1" applyFill="1" applyBorder="1" applyAlignment="1">
      <alignment horizontal="center" vertical="center"/>
    </xf>
    <xf numFmtId="9" fontId="2" fillId="31" borderId="14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left"/>
    </xf>
    <xf numFmtId="0" fontId="2" fillId="34" borderId="14" xfId="0" applyFont="1" applyFill="1" applyBorder="1" applyAlignment="1">
      <alignment horizontal="center" vertical="center" wrapText="1"/>
    </xf>
    <xf numFmtId="0" fontId="2" fillId="31" borderId="15" xfId="0" applyFont="1" applyFill="1" applyBorder="1" applyAlignment="1">
      <alignment horizontal="center" vertical="center"/>
    </xf>
    <xf numFmtId="0" fontId="2" fillId="31" borderId="31" xfId="0" applyFont="1" applyFill="1" applyBorder="1" applyAlignment="1">
      <alignment horizontal="center" vertical="center"/>
    </xf>
    <xf numFmtId="0" fontId="2" fillId="31" borderId="19" xfId="0" applyFont="1" applyFill="1" applyBorder="1" applyAlignment="1">
      <alignment horizontal="center" vertical="center"/>
    </xf>
    <xf numFmtId="0" fontId="21" fillId="31" borderId="14" xfId="0" applyFont="1" applyFill="1" applyBorder="1" applyAlignment="1">
      <alignment horizontal="center" vertical="center" wrapText="1"/>
    </xf>
    <xf numFmtId="0" fontId="19" fillId="31" borderId="15" xfId="0" applyFont="1" applyFill="1" applyBorder="1" applyAlignment="1">
      <alignment horizontal="center" vertical="center" wrapText="1"/>
    </xf>
    <xf numFmtId="0" fontId="19" fillId="31" borderId="31" xfId="0" applyFont="1" applyFill="1" applyBorder="1" applyAlignment="1">
      <alignment horizontal="center" vertical="center" wrapText="1"/>
    </xf>
    <xf numFmtId="0" fontId="19" fillId="31" borderId="1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4" borderId="14" xfId="0" applyFill="1" applyBorder="1" applyAlignment="1">
      <alignment horizontal="center"/>
    </xf>
    <xf numFmtId="0" fontId="14" fillId="0" borderId="15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19" xfId="0" applyFont="1" applyFill="1" applyBorder="1" applyAlignment="1">
      <alignment horizontal="left" vertical="center" wrapText="1"/>
    </xf>
    <xf numFmtId="0" fontId="30" fillId="4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/>
    </xf>
    <xf numFmtId="0" fontId="53" fillId="5" borderId="3" xfId="1286" applyFont="1" applyFill="1" applyBorder="1" applyAlignment="1">
      <alignment horizontal="center" vertical="center" wrapText="1"/>
    </xf>
    <xf numFmtId="0" fontId="53" fillId="5" borderId="13" xfId="1286" applyFont="1" applyFill="1" applyBorder="1" applyAlignment="1">
      <alignment horizontal="center" vertical="center" wrapText="1"/>
    </xf>
    <xf numFmtId="0" fontId="53" fillId="5" borderId="5" xfId="1286" applyFont="1" applyFill="1" applyBorder="1" applyAlignment="1">
      <alignment horizontal="center" vertical="center" wrapText="1"/>
    </xf>
    <xf numFmtId="0" fontId="53" fillId="5" borderId="4" xfId="1286" applyFont="1" applyFill="1" applyBorder="1" applyAlignment="1">
      <alignment horizontal="center" vertical="center" wrapText="1"/>
    </xf>
    <xf numFmtId="0" fontId="26" fillId="37" borderId="4" xfId="1286" applyFont="1" applyFill="1" applyBorder="1" applyAlignment="1">
      <alignment horizontal="center" vertical="center" wrapText="1"/>
    </xf>
    <xf numFmtId="0" fontId="26" fillId="38" borderId="4" xfId="1286" applyFont="1" applyFill="1" applyBorder="1" applyAlignment="1">
      <alignment horizontal="center" vertical="center" wrapText="1"/>
    </xf>
    <xf numFmtId="0" fontId="26" fillId="2" borderId="4" xfId="1286" applyFont="1" applyFill="1" applyBorder="1" applyAlignment="1">
      <alignment horizontal="center" vertical="center" wrapText="1"/>
    </xf>
    <xf numFmtId="0" fontId="3" fillId="5" borderId="4" xfId="1286" applyFont="1" applyFill="1" applyBorder="1" applyAlignment="1">
      <alignment horizontal="center" vertical="center" wrapText="1"/>
    </xf>
    <xf numFmtId="0" fontId="3" fillId="5" borderId="3" xfId="1286" applyFont="1" applyFill="1" applyBorder="1" applyAlignment="1">
      <alignment horizontal="center" vertical="center" wrapText="1"/>
    </xf>
    <xf numFmtId="0" fontId="3" fillId="5" borderId="13" xfId="1286" applyFont="1" applyFill="1" applyBorder="1" applyAlignment="1">
      <alignment horizontal="center" vertical="center" wrapText="1"/>
    </xf>
    <xf numFmtId="0" fontId="3" fillId="5" borderId="5" xfId="1286" applyFont="1" applyFill="1" applyBorder="1" applyAlignment="1">
      <alignment horizontal="center" vertical="center" wrapText="1"/>
    </xf>
    <xf numFmtId="0" fontId="9" fillId="37" borderId="4" xfId="1286" applyFont="1" applyFill="1" applyBorder="1" applyAlignment="1">
      <alignment horizontal="center" vertical="center" wrapText="1"/>
    </xf>
    <xf numFmtId="0" fontId="9" fillId="38" borderId="4" xfId="1286" applyFont="1" applyFill="1" applyBorder="1" applyAlignment="1">
      <alignment horizontal="center" vertical="center" wrapText="1"/>
    </xf>
    <xf numFmtId="0" fontId="9" fillId="2" borderId="4" xfId="1286" applyFont="1" applyFill="1" applyBorder="1" applyAlignment="1">
      <alignment horizontal="center" vertical="center" wrapText="1"/>
    </xf>
    <xf numFmtId="0" fontId="26" fillId="0" borderId="0" xfId="1286" applyFont="1" applyAlignment="1">
      <alignment horizontal="center" vertical="center" wrapText="1"/>
    </xf>
    <xf numFmtId="0" fontId="3" fillId="0" borderId="3" xfId="2" applyFont="1" applyFill="1" applyBorder="1" applyAlignment="1" applyProtection="1">
      <alignment horizontal="center" vertical="center" wrapText="1"/>
      <protection locked="0"/>
    </xf>
    <xf numFmtId="0" fontId="3" fillId="0" borderId="13" xfId="2" applyFont="1" applyFill="1" applyBorder="1" applyAlignment="1" applyProtection="1">
      <alignment horizontal="center" vertical="center" wrapText="1"/>
      <protection locked="0"/>
    </xf>
    <xf numFmtId="0" fontId="3" fillId="0" borderId="5" xfId="2" applyFont="1" applyFill="1" applyBorder="1" applyAlignment="1" applyProtection="1">
      <alignment horizontal="center" vertical="center" wrapText="1"/>
      <protection locked="0"/>
    </xf>
    <xf numFmtId="0" fontId="26" fillId="37" borderId="1" xfId="1286" applyFont="1" applyFill="1" applyBorder="1" applyAlignment="1">
      <alignment horizontal="center" vertical="center" wrapText="1"/>
    </xf>
    <xf numFmtId="0" fontId="26" fillId="37" borderId="2" xfId="1286" applyFont="1" applyFill="1" applyBorder="1" applyAlignment="1">
      <alignment horizontal="center" vertical="center" wrapText="1"/>
    </xf>
    <xf numFmtId="0" fontId="26" fillId="37" borderId="12" xfId="1286" applyFont="1" applyFill="1" applyBorder="1" applyAlignment="1">
      <alignment horizontal="center" vertical="center" wrapText="1"/>
    </xf>
    <xf numFmtId="0" fontId="26" fillId="38" borderId="1" xfId="1286" applyFont="1" applyFill="1" applyBorder="1" applyAlignment="1">
      <alignment horizontal="center" vertical="center" wrapText="1"/>
    </xf>
    <xf numFmtId="0" fontId="26" fillId="38" borderId="2" xfId="1286" applyFont="1" applyFill="1" applyBorder="1" applyAlignment="1">
      <alignment horizontal="center" vertical="center" wrapText="1"/>
    </xf>
    <xf numFmtId="0" fontId="26" fillId="38" borderId="12" xfId="1286" applyFont="1" applyFill="1" applyBorder="1" applyAlignment="1">
      <alignment horizontal="center" vertical="center" wrapText="1"/>
    </xf>
    <xf numFmtId="0" fontId="26" fillId="2" borderId="1" xfId="1286" applyFont="1" applyFill="1" applyBorder="1" applyAlignment="1">
      <alignment horizontal="center" vertical="center" wrapText="1"/>
    </xf>
    <xf numFmtId="0" fontId="26" fillId="2" borderId="2" xfId="1286" applyFont="1" applyFill="1" applyBorder="1" applyAlignment="1">
      <alignment horizontal="center" vertical="center" wrapText="1"/>
    </xf>
    <xf numFmtId="0" fontId="26" fillId="2" borderId="12" xfId="1286" applyFont="1" applyFill="1" applyBorder="1" applyAlignment="1">
      <alignment horizontal="center" vertical="center" wrapText="1"/>
    </xf>
    <xf numFmtId="0" fontId="9" fillId="45" borderId="88" xfId="1286" applyFont="1" applyFill="1" applyBorder="1" applyAlignment="1">
      <alignment horizontal="center" vertical="center" wrapText="1"/>
    </xf>
    <xf numFmtId="0" fontId="9" fillId="45" borderId="95" xfId="1286" applyFont="1" applyFill="1" applyBorder="1" applyAlignment="1">
      <alignment horizontal="center" vertical="center" wrapText="1"/>
    </xf>
    <xf numFmtId="0" fontId="9" fillId="45" borderId="98" xfId="1286" applyFont="1" applyFill="1" applyBorder="1" applyAlignment="1">
      <alignment horizontal="center" vertical="center" wrapText="1"/>
    </xf>
    <xf numFmtId="0" fontId="26" fillId="2" borderId="72" xfId="1286" applyFont="1" applyFill="1" applyBorder="1" applyAlignment="1">
      <alignment horizontal="center" vertical="center" wrapText="1"/>
    </xf>
    <xf numFmtId="0" fontId="26" fillId="2" borderId="73" xfId="1286" applyFont="1" applyFill="1" applyBorder="1" applyAlignment="1">
      <alignment horizontal="center" vertical="center" wrapText="1"/>
    </xf>
    <xf numFmtId="0" fontId="26" fillId="2" borderId="74" xfId="1286" applyFont="1" applyFill="1" applyBorder="1" applyAlignment="1">
      <alignment horizontal="center" vertical="center" wrapText="1"/>
    </xf>
  </cellXfs>
  <cellStyles count="1287">
    <cellStyle name="20 % - Accent1 2" xfId="4"/>
    <cellStyle name="20 % - Accent2 2" xfId="5"/>
    <cellStyle name="20 % - Accent3 2" xfId="6"/>
    <cellStyle name="20 % - Accent4 2" xfId="7"/>
    <cellStyle name="20 % - Accent5 2" xfId="8"/>
    <cellStyle name="20 % - Accent6 2" xfId="9"/>
    <cellStyle name="40 % - Accent1 2" xfId="10"/>
    <cellStyle name="40 % - Accent2 2" xfId="11"/>
    <cellStyle name="40 % - Accent3 2" xfId="12"/>
    <cellStyle name="40 % - Accent4 2" xfId="13"/>
    <cellStyle name="40 % - Accent5 2" xfId="14"/>
    <cellStyle name="40 % - Accent6 2" xfId="15"/>
    <cellStyle name="60 % - Accent1 2" xfId="16"/>
    <cellStyle name="60 % - Accent2 2" xfId="17"/>
    <cellStyle name="60 % - Accent3 2" xfId="18"/>
    <cellStyle name="60 % - Accent4 2" xfId="19"/>
    <cellStyle name="60 % - Accent5 2" xfId="20"/>
    <cellStyle name="60 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Avertissement 2" xfId="28"/>
    <cellStyle name="Calcul 10" xfId="342"/>
    <cellStyle name="Calcul 10 2" xfId="343"/>
    <cellStyle name="Calcul 10 2 2" xfId="344"/>
    <cellStyle name="Calcul 10 2 3" xfId="345"/>
    <cellStyle name="Calcul 10 3" xfId="346"/>
    <cellStyle name="Calcul 10 3 2" xfId="347"/>
    <cellStyle name="Calcul 10 4" xfId="348"/>
    <cellStyle name="Calcul 10 5" xfId="349"/>
    <cellStyle name="Calcul 11" xfId="350"/>
    <cellStyle name="Calcul 11 2" xfId="351"/>
    <cellStyle name="Calcul 11 2 2" xfId="352"/>
    <cellStyle name="Calcul 11 3" xfId="353"/>
    <cellStyle name="Calcul 11 3 2" xfId="354"/>
    <cellStyle name="Calcul 11 4" xfId="355"/>
    <cellStyle name="Calcul 12" xfId="356"/>
    <cellStyle name="Calcul 12 2" xfId="357"/>
    <cellStyle name="Calcul 2" xfId="29"/>
    <cellStyle name="Calcul 2 10" xfId="358"/>
    <cellStyle name="Calcul 2 11" xfId="359"/>
    <cellStyle name="Calcul 2 12" xfId="360"/>
    <cellStyle name="Calcul 2 2" xfId="30"/>
    <cellStyle name="Calcul 2 2 2" xfId="361"/>
    <cellStyle name="Calcul 2 2 2 2" xfId="362"/>
    <cellStyle name="Calcul 2 2 2 3" xfId="363"/>
    <cellStyle name="Calcul 2 2 2 4" xfId="364"/>
    <cellStyle name="Calcul 2 2 3" xfId="365"/>
    <cellStyle name="Calcul 2 2 3 2" xfId="366"/>
    <cellStyle name="Calcul 2 2 3 3" xfId="367"/>
    <cellStyle name="Calcul 2 2 4" xfId="368"/>
    <cellStyle name="Calcul 2 2 4 2" xfId="369"/>
    <cellStyle name="Calcul 2 2 5" xfId="370"/>
    <cellStyle name="Calcul 2 2 6" xfId="371"/>
    <cellStyle name="Calcul 2 3" xfId="31"/>
    <cellStyle name="Calcul 2 3 2" xfId="372"/>
    <cellStyle name="Calcul 2 3 3" xfId="373"/>
    <cellStyle name="Calcul 2 3 4" xfId="374"/>
    <cellStyle name="Calcul 2 4" xfId="32"/>
    <cellStyle name="Calcul 2 4 2" xfId="375"/>
    <cellStyle name="Calcul 2 4 3" xfId="376"/>
    <cellStyle name="Calcul 2 4 4" xfId="377"/>
    <cellStyle name="Calcul 2 5" xfId="176"/>
    <cellStyle name="Calcul 2 5 2" xfId="378"/>
    <cellStyle name="Calcul 2 5 3" xfId="379"/>
    <cellStyle name="Calcul 2 5 4" xfId="380"/>
    <cellStyle name="Calcul 2 6" xfId="177"/>
    <cellStyle name="Calcul 2 6 2" xfId="381"/>
    <cellStyle name="Calcul 2 7" xfId="178"/>
    <cellStyle name="Calcul 2 7 2" xfId="382"/>
    <cellStyle name="Calcul 2 8" xfId="179"/>
    <cellStyle name="Calcul 2 8 2" xfId="383"/>
    <cellStyle name="Calcul 2 9" xfId="384"/>
    <cellStyle name="Calcul 2 9 2" xfId="385"/>
    <cellStyle name="Calcul 3" xfId="33"/>
    <cellStyle name="Calcul 3 10" xfId="386"/>
    <cellStyle name="Calcul 3 11" xfId="387"/>
    <cellStyle name="Calcul 3 12" xfId="388"/>
    <cellStyle name="Calcul 3 2" xfId="34"/>
    <cellStyle name="Calcul 3 2 2" xfId="389"/>
    <cellStyle name="Calcul 3 2 2 2" xfId="390"/>
    <cellStyle name="Calcul 3 2 2 3" xfId="391"/>
    <cellStyle name="Calcul 3 2 2 4" xfId="392"/>
    <cellStyle name="Calcul 3 2 3" xfId="393"/>
    <cellStyle name="Calcul 3 2 3 2" xfId="394"/>
    <cellStyle name="Calcul 3 2 3 3" xfId="395"/>
    <cellStyle name="Calcul 3 2 4" xfId="396"/>
    <cellStyle name="Calcul 3 2 4 2" xfId="397"/>
    <cellStyle name="Calcul 3 2 5" xfId="398"/>
    <cellStyle name="Calcul 3 2 6" xfId="399"/>
    <cellStyle name="Calcul 3 3" xfId="35"/>
    <cellStyle name="Calcul 3 3 2" xfId="400"/>
    <cellStyle name="Calcul 3 3 3" xfId="401"/>
    <cellStyle name="Calcul 3 3 4" xfId="402"/>
    <cellStyle name="Calcul 3 4" xfId="36"/>
    <cellStyle name="Calcul 3 4 2" xfId="403"/>
    <cellStyle name="Calcul 3 4 3" xfId="404"/>
    <cellStyle name="Calcul 3 4 4" xfId="405"/>
    <cellStyle name="Calcul 3 5" xfId="180"/>
    <cellStyle name="Calcul 3 5 2" xfId="406"/>
    <cellStyle name="Calcul 3 5 3" xfId="407"/>
    <cellStyle name="Calcul 3 5 4" xfId="408"/>
    <cellStyle name="Calcul 3 6" xfId="181"/>
    <cellStyle name="Calcul 3 6 2" xfId="409"/>
    <cellStyle name="Calcul 3 7" xfId="182"/>
    <cellStyle name="Calcul 3 7 2" xfId="410"/>
    <cellStyle name="Calcul 3 8" xfId="183"/>
    <cellStyle name="Calcul 3 8 2" xfId="411"/>
    <cellStyle name="Calcul 3 9" xfId="412"/>
    <cellStyle name="Calcul 3 9 2" xfId="413"/>
    <cellStyle name="Calcul 4" xfId="37"/>
    <cellStyle name="Calcul 4 10" xfId="414"/>
    <cellStyle name="Calcul 4 11" xfId="415"/>
    <cellStyle name="Calcul 4 12" xfId="416"/>
    <cellStyle name="Calcul 4 2" xfId="38"/>
    <cellStyle name="Calcul 4 2 2" xfId="417"/>
    <cellStyle name="Calcul 4 2 2 2" xfId="418"/>
    <cellStyle name="Calcul 4 2 2 3" xfId="419"/>
    <cellStyle name="Calcul 4 2 2 4" xfId="420"/>
    <cellStyle name="Calcul 4 2 3" xfId="421"/>
    <cellStyle name="Calcul 4 2 3 2" xfId="422"/>
    <cellStyle name="Calcul 4 2 3 3" xfId="423"/>
    <cellStyle name="Calcul 4 2 4" xfId="424"/>
    <cellStyle name="Calcul 4 2 4 2" xfId="425"/>
    <cellStyle name="Calcul 4 2 5" xfId="426"/>
    <cellStyle name="Calcul 4 2 6" xfId="427"/>
    <cellStyle name="Calcul 4 3" xfId="39"/>
    <cellStyle name="Calcul 4 3 2" xfId="428"/>
    <cellStyle name="Calcul 4 3 3" xfId="429"/>
    <cellStyle name="Calcul 4 3 4" xfId="430"/>
    <cellStyle name="Calcul 4 4" xfId="40"/>
    <cellStyle name="Calcul 4 4 2" xfId="431"/>
    <cellStyle name="Calcul 4 4 3" xfId="432"/>
    <cellStyle name="Calcul 4 4 4" xfId="433"/>
    <cellStyle name="Calcul 4 5" xfId="184"/>
    <cellStyle name="Calcul 4 5 2" xfId="434"/>
    <cellStyle name="Calcul 4 5 3" xfId="435"/>
    <cellStyle name="Calcul 4 5 4" xfId="436"/>
    <cellStyle name="Calcul 4 6" xfId="185"/>
    <cellStyle name="Calcul 4 6 2" xfId="437"/>
    <cellStyle name="Calcul 4 7" xfId="186"/>
    <cellStyle name="Calcul 4 7 2" xfId="438"/>
    <cellStyle name="Calcul 4 8" xfId="187"/>
    <cellStyle name="Calcul 4 8 2" xfId="439"/>
    <cellStyle name="Calcul 4 9" xfId="440"/>
    <cellStyle name="Calcul 4 9 2" xfId="441"/>
    <cellStyle name="Calcul 5" xfId="41"/>
    <cellStyle name="Calcul 5 10" xfId="442"/>
    <cellStyle name="Calcul 5 11" xfId="443"/>
    <cellStyle name="Calcul 5 12" xfId="444"/>
    <cellStyle name="Calcul 5 2" xfId="42"/>
    <cellStyle name="Calcul 5 2 2" xfId="445"/>
    <cellStyle name="Calcul 5 2 3" xfId="446"/>
    <cellStyle name="Calcul 5 2 4" xfId="447"/>
    <cellStyle name="Calcul 5 3" xfId="43"/>
    <cellStyle name="Calcul 5 3 2" xfId="448"/>
    <cellStyle name="Calcul 5 3 3" xfId="449"/>
    <cellStyle name="Calcul 5 3 4" xfId="450"/>
    <cellStyle name="Calcul 5 4" xfId="44"/>
    <cellStyle name="Calcul 5 4 2" xfId="451"/>
    <cellStyle name="Calcul 5 4 3" xfId="452"/>
    <cellStyle name="Calcul 5 4 4" xfId="453"/>
    <cellStyle name="Calcul 5 5" xfId="188"/>
    <cellStyle name="Calcul 5 5 2" xfId="454"/>
    <cellStyle name="Calcul 5 6" xfId="189"/>
    <cellStyle name="Calcul 5 6 2" xfId="455"/>
    <cellStyle name="Calcul 5 7" xfId="190"/>
    <cellStyle name="Calcul 5 7 2" xfId="456"/>
    <cellStyle name="Calcul 5 8" xfId="191"/>
    <cellStyle name="Calcul 5 8 2" xfId="457"/>
    <cellStyle name="Calcul 5 9" xfId="458"/>
    <cellStyle name="Calcul 5 9 2" xfId="459"/>
    <cellStyle name="Calcul 6" xfId="45"/>
    <cellStyle name="Calcul 6 10" xfId="460"/>
    <cellStyle name="Calcul 6 11" xfId="461"/>
    <cellStyle name="Calcul 6 12" xfId="462"/>
    <cellStyle name="Calcul 6 2" xfId="46"/>
    <cellStyle name="Calcul 6 2 2" xfId="463"/>
    <cellStyle name="Calcul 6 2 3" xfId="464"/>
    <cellStyle name="Calcul 6 2 4" xfId="465"/>
    <cellStyle name="Calcul 6 3" xfId="47"/>
    <cellStyle name="Calcul 6 3 2" xfId="466"/>
    <cellStyle name="Calcul 6 3 3" xfId="467"/>
    <cellStyle name="Calcul 6 3 4" xfId="468"/>
    <cellStyle name="Calcul 6 4" xfId="48"/>
    <cellStyle name="Calcul 6 4 2" xfId="469"/>
    <cellStyle name="Calcul 6 4 3" xfId="470"/>
    <cellStyle name="Calcul 6 4 4" xfId="471"/>
    <cellStyle name="Calcul 6 5" xfId="192"/>
    <cellStyle name="Calcul 6 5 2" xfId="472"/>
    <cellStyle name="Calcul 6 6" xfId="193"/>
    <cellStyle name="Calcul 6 6 2" xfId="473"/>
    <cellStyle name="Calcul 6 7" xfId="194"/>
    <cellStyle name="Calcul 6 7 2" xfId="474"/>
    <cellStyle name="Calcul 6 8" xfId="195"/>
    <cellStyle name="Calcul 6 8 2" xfId="475"/>
    <cellStyle name="Calcul 6 9" xfId="476"/>
    <cellStyle name="Calcul 6 9 2" xfId="477"/>
    <cellStyle name="Calcul 7" xfId="49"/>
    <cellStyle name="Calcul 7 10" xfId="478"/>
    <cellStyle name="Calcul 7 11" xfId="479"/>
    <cellStyle name="Calcul 7 12" xfId="480"/>
    <cellStyle name="Calcul 7 2" xfId="50"/>
    <cellStyle name="Calcul 7 2 2" xfId="481"/>
    <cellStyle name="Calcul 7 2 3" xfId="482"/>
    <cellStyle name="Calcul 7 2 4" xfId="483"/>
    <cellStyle name="Calcul 7 3" xfId="51"/>
    <cellStyle name="Calcul 7 3 2" xfId="484"/>
    <cellStyle name="Calcul 7 3 3" xfId="485"/>
    <cellStyle name="Calcul 7 3 4" xfId="486"/>
    <cellStyle name="Calcul 7 4" xfId="52"/>
    <cellStyle name="Calcul 7 4 2" xfId="487"/>
    <cellStyle name="Calcul 7 4 3" xfId="488"/>
    <cellStyle name="Calcul 7 4 4" xfId="489"/>
    <cellStyle name="Calcul 7 5" xfId="196"/>
    <cellStyle name="Calcul 7 5 2" xfId="490"/>
    <cellStyle name="Calcul 7 6" xfId="197"/>
    <cellStyle name="Calcul 7 6 2" xfId="491"/>
    <cellStyle name="Calcul 7 7" xfId="198"/>
    <cellStyle name="Calcul 7 7 2" xfId="492"/>
    <cellStyle name="Calcul 7 8" xfId="199"/>
    <cellStyle name="Calcul 7 8 2" xfId="493"/>
    <cellStyle name="Calcul 7 9" xfId="494"/>
    <cellStyle name="Calcul 7 9 2" xfId="495"/>
    <cellStyle name="Calcul 8" xfId="200"/>
    <cellStyle name="Calcul 8 10" xfId="496"/>
    <cellStyle name="Calcul 8 11" xfId="497"/>
    <cellStyle name="Calcul 8 12" xfId="498"/>
    <cellStyle name="Calcul 8 2" xfId="201"/>
    <cellStyle name="Calcul 8 2 2" xfId="499"/>
    <cellStyle name="Calcul 8 2 3" xfId="500"/>
    <cellStyle name="Calcul 8 2 4" xfId="501"/>
    <cellStyle name="Calcul 8 3" xfId="202"/>
    <cellStyle name="Calcul 8 3 2" xfId="502"/>
    <cellStyle name="Calcul 8 3 3" xfId="503"/>
    <cellStyle name="Calcul 8 3 4" xfId="504"/>
    <cellStyle name="Calcul 8 4" xfId="203"/>
    <cellStyle name="Calcul 8 4 2" xfId="505"/>
    <cellStyle name="Calcul 8 4 3" xfId="506"/>
    <cellStyle name="Calcul 8 4 4" xfId="507"/>
    <cellStyle name="Calcul 8 5" xfId="204"/>
    <cellStyle name="Calcul 8 5 2" xfId="508"/>
    <cellStyle name="Calcul 8 6" xfId="205"/>
    <cellStyle name="Calcul 8 6 2" xfId="509"/>
    <cellStyle name="Calcul 8 7" xfId="206"/>
    <cellStyle name="Calcul 8 7 2" xfId="510"/>
    <cellStyle name="Calcul 8 8" xfId="207"/>
    <cellStyle name="Calcul 8 8 2" xfId="511"/>
    <cellStyle name="Calcul 8 9" xfId="512"/>
    <cellStyle name="Calcul 8 9 2" xfId="513"/>
    <cellStyle name="Calcul 9" xfId="514"/>
    <cellStyle name="Calcul 9 2" xfId="515"/>
    <cellStyle name="Calcul 9 2 2" xfId="516"/>
    <cellStyle name="Calcul 9 2 3" xfId="517"/>
    <cellStyle name="Calcul 9 3" xfId="518"/>
    <cellStyle name="Calcul 9 3 2" xfId="519"/>
    <cellStyle name="Calcul 9 4" xfId="520"/>
    <cellStyle name="Calcul 9 4 2" xfId="521"/>
    <cellStyle name="Calcul 9 5" xfId="522"/>
    <cellStyle name="Calcul 9 6" xfId="523"/>
    <cellStyle name="Cellule liée 2" xfId="53"/>
    <cellStyle name="Commentaire 10" xfId="524"/>
    <cellStyle name="Commentaire 10 2" xfId="525"/>
    <cellStyle name="Commentaire 10 2 2" xfId="526"/>
    <cellStyle name="Commentaire 10 2 3" xfId="527"/>
    <cellStyle name="Commentaire 10 3" xfId="528"/>
    <cellStyle name="Commentaire 10 3 2" xfId="529"/>
    <cellStyle name="Commentaire 10 4" xfId="530"/>
    <cellStyle name="Commentaire 10 5" xfId="531"/>
    <cellStyle name="Commentaire 11" xfId="532"/>
    <cellStyle name="Commentaire 11 2" xfId="533"/>
    <cellStyle name="Commentaire 11 2 2" xfId="534"/>
    <cellStyle name="Commentaire 11 3" xfId="535"/>
    <cellStyle name="Commentaire 11 3 2" xfId="536"/>
    <cellStyle name="Commentaire 11 4" xfId="537"/>
    <cellStyle name="Commentaire 12" xfId="538"/>
    <cellStyle name="Commentaire 12 2" xfId="539"/>
    <cellStyle name="Commentaire 2" xfId="54"/>
    <cellStyle name="Commentaire 2 10" xfId="540"/>
    <cellStyle name="Commentaire 2 11" xfId="541"/>
    <cellStyle name="Commentaire 2 12" xfId="542"/>
    <cellStyle name="Commentaire 2 2" xfId="55"/>
    <cellStyle name="Commentaire 2 2 2" xfId="543"/>
    <cellStyle name="Commentaire 2 2 2 2" xfId="544"/>
    <cellStyle name="Commentaire 2 2 2 3" xfId="545"/>
    <cellStyle name="Commentaire 2 2 2 4" xfId="546"/>
    <cellStyle name="Commentaire 2 2 3" xfId="547"/>
    <cellStyle name="Commentaire 2 2 3 2" xfId="548"/>
    <cellStyle name="Commentaire 2 2 3 3" xfId="549"/>
    <cellStyle name="Commentaire 2 2 4" xfId="550"/>
    <cellStyle name="Commentaire 2 2 4 2" xfId="551"/>
    <cellStyle name="Commentaire 2 2 5" xfId="552"/>
    <cellStyle name="Commentaire 2 2 6" xfId="553"/>
    <cellStyle name="Commentaire 2 3" xfId="56"/>
    <cellStyle name="Commentaire 2 3 2" xfId="554"/>
    <cellStyle name="Commentaire 2 3 3" xfId="555"/>
    <cellStyle name="Commentaire 2 3 4" xfId="556"/>
    <cellStyle name="Commentaire 2 4" xfId="57"/>
    <cellStyle name="Commentaire 2 4 2" xfId="557"/>
    <cellStyle name="Commentaire 2 4 3" xfId="558"/>
    <cellStyle name="Commentaire 2 4 4" xfId="559"/>
    <cellStyle name="Commentaire 2 5" xfId="208"/>
    <cellStyle name="Commentaire 2 5 2" xfId="560"/>
    <cellStyle name="Commentaire 2 5 3" xfId="561"/>
    <cellStyle name="Commentaire 2 5 4" xfId="562"/>
    <cellStyle name="Commentaire 2 6" xfId="209"/>
    <cellStyle name="Commentaire 2 6 2" xfId="563"/>
    <cellStyle name="Commentaire 2 7" xfId="210"/>
    <cellStyle name="Commentaire 2 7 2" xfId="564"/>
    <cellStyle name="Commentaire 2 8" xfId="211"/>
    <cellStyle name="Commentaire 2 8 2" xfId="565"/>
    <cellStyle name="Commentaire 2 9" xfId="566"/>
    <cellStyle name="Commentaire 2 9 2" xfId="567"/>
    <cellStyle name="Commentaire 3" xfId="58"/>
    <cellStyle name="Commentaire 3 10" xfId="568"/>
    <cellStyle name="Commentaire 3 11" xfId="569"/>
    <cellStyle name="Commentaire 3 12" xfId="570"/>
    <cellStyle name="Commentaire 3 2" xfId="59"/>
    <cellStyle name="Commentaire 3 2 2" xfId="571"/>
    <cellStyle name="Commentaire 3 2 2 2" xfId="572"/>
    <cellStyle name="Commentaire 3 2 2 3" xfId="573"/>
    <cellStyle name="Commentaire 3 2 2 4" xfId="574"/>
    <cellStyle name="Commentaire 3 2 3" xfId="575"/>
    <cellStyle name="Commentaire 3 2 3 2" xfId="576"/>
    <cellStyle name="Commentaire 3 2 3 3" xfId="577"/>
    <cellStyle name="Commentaire 3 2 4" xfId="578"/>
    <cellStyle name="Commentaire 3 2 4 2" xfId="579"/>
    <cellStyle name="Commentaire 3 2 5" xfId="580"/>
    <cellStyle name="Commentaire 3 2 6" xfId="581"/>
    <cellStyle name="Commentaire 3 3" xfId="60"/>
    <cellStyle name="Commentaire 3 3 2" xfId="582"/>
    <cellStyle name="Commentaire 3 3 3" xfId="583"/>
    <cellStyle name="Commentaire 3 3 4" xfId="584"/>
    <cellStyle name="Commentaire 3 4" xfId="61"/>
    <cellStyle name="Commentaire 3 4 2" xfId="585"/>
    <cellStyle name="Commentaire 3 4 3" xfId="586"/>
    <cellStyle name="Commentaire 3 4 4" xfId="587"/>
    <cellStyle name="Commentaire 3 5" xfId="212"/>
    <cellStyle name="Commentaire 3 5 2" xfId="588"/>
    <cellStyle name="Commentaire 3 5 3" xfId="589"/>
    <cellStyle name="Commentaire 3 5 4" xfId="590"/>
    <cellStyle name="Commentaire 3 6" xfId="213"/>
    <cellStyle name="Commentaire 3 6 2" xfId="591"/>
    <cellStyle name="Commentaire 3 7" xfId="214"/>
    <cellStyle name="Commentaire 3 7 2" xfId="592"/>
    <cellStyle name="Commentaire 3 8" xfId="215"/>
    <cellStyle name="Commentaire 3 8 2" xfId="593"/>
    <cellStyle name="Commentaire 3 9" xfId="594"/>
    <cellStyle name="Commentaire 3 9 2" xfId="595"/>
    <cellStyle name="Commentaire 4" xfId="62"/>
    <cellStyle name="Commentaire 4 10" xfId="596"/>
    <cellStyle name="Commentaire 4 11" xfId="597"/>
    <cellStyle name="Commentaire 4 12" xfId="598"/>
    <cellStyle name="Commentaire 4 2" xfId="63"/>
    <cellStyle name="Commentaire 4 2 2" xfId="599"/>
    <cellStyle name="Commentaire 4 2 2 2" xfId="600"/>
    <cellStyle name="Commentaire 4 2 2 3" xfId="601"/>
    <cellStyle name="Commentaire 4 2 2 4" xfId="602"/>
    <cellStyle name="Commentaire 4 2 3" xfId="603"/>
    <cellStyle name="Commentaire 4 2 3 2" xfId="604"/>
    <cellStyle name="Commentaire 4 2 3 3" xfId="605"/>
    <cellStyle name="Commentaire 4 2 4" xfId="606"/>
    <cellStyle name="Commentaire 4 2 4 2" xfId="607"/>
    <cellStyle name="Commentaire 4 2 5" xfId="608"/>
    <cellStyle name="Commentaire 4 2 6" xfId="609"/>
    <cellStyle name="Commentaire 4 3" xfId="64"/>
    <cellStyle name="Commentaire 4 3 2" xfId="610"/>
    <cellStyle name="Commentaire 4 3 3" xfId="611"/>
    <cellStyle name="Commentaire 4 3 4" xfId="612"/>
    <cellStyle name="Commentaire 4 4" xfId="65"/>
    <cellStyle name="Commentaire 4 4 2" xfId="613"/>
    <cellStyle name="Commentaire 4 4 3" xfId="614"/>
    <cellStyle name="Commentaire 4 4 4" xfId="615"/>
    <cellStyle name="Commentaire 4 5" xfId="216"/>
    <cellStyle name="Commentaire 4 5 2" xfId="616"/>
    <cellStyle name="Commentaire 4 5 3" xfId="617"/>
    <cellStyle name="Commentaire 4 5 4" xfId="618"/>
    <cellStyle name="Commentaire 4 6" xfId="217"/>
    <cellStyle name="Commentaire 4 6 2" xfId="619"/>
    <cellStyle name="Commentaire 4 7" xfId="218"/>
    <cellStyle name="Commentaire 4 7 2" xfId="620"/>
    <cellStyle name="Commentaire 4 8" xfId="219"/>
    <cellStyle name="Commentaire 4 8 2" xfId="621"/>
    <cellStyle name="Commentaire 4 9" xfId="622"/>
    <cellStyle name="Commentaire 4 9 2" xfId="623"/>
    <cellStyle name="Commentaire 5" xfId="66"/>
    <cellStyle name="Commentaire 5 10" xfId="624"/>
    <cellStyle name="Commentaire 5 11" xfId="625"/>
    <cellStyle name="Commentaire 5 12" xfId="626"/>
    <cellStyle name="Commentaire 5 2" xfId="67"/>
    <cellStyle name="Commentaire 5 2 2" xfId="627"/>
    <cellStyle name="Commentaire 5 2 3" xfId="628"/>
    <cellStyle name="Commentaire 5 2 4" xfId="629"/>
    <cellStyle name="Commentaire 5 3" xfId="68"/>
    <cellStyle name="Commentaire 5 3 2" xfId="630"/>
    <cellStyle name="Commentaire 5 3 3" xfId="631"/>
    <cellStyle name="Commentaire 5 3 4" xfId="632"/>
    <cellStyle name="Commentaire 5 4" xfId="69"/>
    <cellStyle name="Commentaire 5 4 2" xfId="633"/>
    <cellStyle name="Commentaire 5 4 3" xfId="634"/>
    <cellStyle name="Commentaire 5 4 4" xfId="635"/>
    <cellStyle name="Commentaire 5 5" xfId="220"/>
    <cellStyle name="Commentaire 5 5 2" xfId="636"/>
    <cellStyle name="Commentaire 5 6" xfId="221"/>
    <cellStyle name="Commentaire 5 6 2" xfId="637"/>
    <cellStyle name="Commentaire 5 7" xfId="222"/>
    <cellStyle name="Commentaire 5 7 2" xfId="638"/>
    <cellStyle name="Commentaire 5 8" xfId="223"/>
    <cellStyle name="Commentaire 5 8 2" xfId="639"/>
    <cellStyle name="Commentaire 5 9" xfId="640"/>
    <cellStyle name="Commentaire 5 9 2" xfId="641"/>
    <cellStyle name="Commentaire 6" xfId="70"/>
    <cellStyle name="Commentaire 6 10" xfId="642"/>
    <cellStyle name="Commentaire 6 11" xfId="643"/>
    <cellStyle name="Commentaire 6 12" xfId="644"/>
    <cellStyle name="Commentaire 6 2" xfId="71"/>
    <cellStyle name="Commentaire 6 2 2" xfId="645"/>
    <cellStyle name="Commentaire 6 2 3" xfId="646"/>
    <cellStyle name="Commentaire 6 2 4" xfId="647"/>
    <cellStyle name="Commentaire 6 3" xfId="72"/>
    <cellStyle name="Commentaire 6 3 2" xfId="648"/>
    <cellStyle name="Commentaire 6 3 3" xfId="649"/>
    <cellStyle name="Commentaire 6 3 4" xfId="650"/>
    <cellStyle name="Commentaire 6 4" xfId="73"/>
    <cellStyle name="Commentaire 6 4 2" xfId="651"/>
    <cellStyle name="Commentaire 6 4 3" xfId="652"/>
    <cellStyle name="Commentaire 6 4 4" xfId="653"/>
    <cellStyle name="Commentaire 6 5" xfId="224"/>
    <cellStyle name="Commentaire 6 5 2" xfId="654"/>
    <cellStyle name="Commentaire 6 6" xfId="225"/>
    <cellStyle name="Commentaire 6 6 2" xfId="655"/>
    <cellStyle name="Commentaire 6 7" xfId="226"/>
    <cellStyle name="Commentaire 6 7 2" xfId="656"/>
    <cellStyle name="Commentaire 6 8" xfId="227"/>
    <cellStyle name="Commentaire 6 8 2" xfId="657"/>
    <cellStyle name="Commentaire 6 9" xfId="658"/>
    <cellStyle name="Commentaire 6 9 2" xfId="659"/>
    <cellStyle name="Commentaire 7" xfId="74"/>
    <cellStyle name="Commentaire 7 10" xfId="660"/>
    <cellStyle name="Commentaire 7 11" xfId="661"/>
    <cellStyle name="Commentaire 7 12" xfId="662"/>
    <cellStyle name="Commentaire 7 2" xfId="75"/>
    <cellStyle name="Commentaire 7 2 2" xfId="663"/>
    <cellStyle name="Commentaire 7 2 3" xfId="664"/>
    <cellStyle name="Commentaire 7 2 4" xfId="665"/>
    <cellStyle name="Commentaire 7 3" xfId="76"/>
    <cellStyle name="Commentaire 7 3 2" xfId="666"/>
    <cellStyle name="Commentaire 7 3 3" xfId="667"/>
    <cellStyle name="Commentaire 7 3 4" xfId="668"/>
    <cellStyle name="Commentaire 7 4" xfId="77"/>
    <cellStyle name="Commentaire 7 4 2" xfId="669"/>
    <cellStyle name="Commentaire 7 4 3" xfId="670"/>
    <cellStyle name="Commentaire 7 4 4" xfId="671"/>
    <cellStyle name="Commentaire 7 5" xfId="228"/>
    <cellStyle name="Commentaire 7 5 2" xfId="672"/>
    <cellStyle name="Commentaire 7 6" xfId="229"/>
    <cellStyle name="Commentaire 7 6 2" xfId="673"/>
    <cellStyle name="Commentaire 7 7" xfId="230"/>
    <cellStyle name="Commentaire 7 7 2" xfId="674"/>
    <cellStyle name="Commentaire 7 8" xfId="231"/>
    <cellStyle name="Commentaire 7 8 2" xfId="675"/>
    <cellStyle name="Commentaire 7 9" xfId="676"/>
    <cellStyle name="Commentaire 7 9 2" xfId="677"/>
    <cellStyle name="Commentaire 8" xfId="232"/>
    <cellStyle name="Commentaire 8 10" xfId="678"/>
    <cellStyle name="Commentaire 8 11" xfId="679"/>
    <cellStyle name="Commentaire 8 12" xfId="680"/>
    <cellStyle name="Commentaire 8 2" xfId="233"/>
    <cellStyle name="Commentaire 8 2 2" xfId="681"/>
    <cellStyle name="Commentaire 8 2 3" xfId="682"/>
    <cellStyle name="Commentaire 8 2 4" xfId="683"/>
    <cellStyle name="Commentaire 8 3" xfId="234"/>
    <cellStyle name="Commentaire 8 3 2" xfId="684"/>
    <cellStyle name="Commentaire 8 3 3" xfId="685"/>
    <cellStyle name="Commentaire 8 3 4" xfId="686"/>
    <cellStyle name="Commentaire 8 4" xfId="235"/>
    <cellStyle name="Commentaire 8 4 2" xfId="687"/>
    <cellStyle name="Commentaire 8 4 3" xfId="688"/>
    <cellStyle name="Commentaire 8 4 4" xfId="689"/>
    <cellStyle name="Commentaire 8 5" xfId="236"/>
    <cellStyle name="Commentaire 8 5 2" xfId="690"/>
    <cellStyle name="Commentaire 8 6" xfId="237"/>
    <cellStyle name="Commentaire 8 6 2" xfId="691"/>
    <cellStyle name="Commentaire 8 7" xfId="238"/>
    <cellStyle name="Commentaire 8 7 2" xfId="692"/>
    <cellStyle name="Commentaire 8 8" xfId="239"/>
    <cellStyle name="Commentaire 8 8 2" xfId="693"/>
    <cellStyle name="Commentaire 8 9" xfId="694"/>
    <cellStyle name="Commentaire 8 9 2" xfId="695"/>
    <cellStyle name="Commentaire 9" xfId="696"/>
    <cellStyle name="Commentaire 9 2" xfId="697"/>
    <cellStyle name="Commentaire 9 2 2" xfId="698"/>
    <cellStyle name="Commentaire 9 2 3" xfId="699"/>
    <cellStyle name="Commentaire 9 3" xfId="700"/>
    <cellStyle name="Commentaire 9 3 2" xfId="701"/>
    <cellStyle name="Commentaire 9 4" xfId="702"/>
    <cellStyle name="Commentaire 9 4 2" xfId="703"/>
    <cellStyle name="Commentaire 9 5" xfId="704"/>
    <cellStyle name="Commentaire 9 6" xfId="705"/>
    <cellStyle name="Entrée 10" xfId="706"/>
    <cellStyle name="Entrée 10 2" xfId="707"/>
    <cellStyle name="Entrée 10 2 2" xfId="708"/>
    <cellStyle name="Entrée 10 2 3" xfId="709"/>
    <cellStyle name="Entrée 10 3" xfId="710"/>
    <cellStyle name="Entrée 10 3 2" xfId="711"/>
    <cellStyle name="Entrée 10 4" xfId="712"/>
    <cellStyle name="Entrée 10 5" xfId="713"/>
    <cellStyle name="Entrée 11" xfId="714"/>
    <cellStyle name="Entrée 11 2" xfId="715"/>
    <cellStyle name="Entrée 11 2 2" xfId="716"/>
    <cellStyle name="Entrée 11 3" xfId="717"/>
    <cellStyle name="Entrée 11 3 2" xfId="718"/>
    <cellStyle name="Entrée 11 4" xfId="719"/>
    <cellStyle name="Entrée 12" xfId="720"/>
    <cellStyle name="Entrée 12 2" xfId="721"/>
    <cellStyle name="Entrée 2" xfId="78"/>
    <cellStyle name="Entrée 2 10" xfId="722"/>
    <cellStyle name="Entrée 2 11" xfId="723"/>
    <cellStyle name="Entrée 2 12" xfId="724"/>
    <cellStyle name="Entrée 2 2" xfId="79"/>
    <cellStyle name="Entrée 2 2 2" xfId="725"/>
    <cellStyle name="Entrée 2 2 2 2" xfId="726"/>
    <cellStyle name="Entrée 2 2 2 3" xfId="727"/>
    <cellStyle name="Entrée 2 2 2 4" xfId="728"/>
    <cellStyle name="Entrée 2 2 3" xfId="729"/>
    <cellStyle name="Entrée 2 2 3 2" xfId="730"/>
    <cellStyle name="Entrée 2 2 3 3" xfId="731"/>
    <cellStyle name="Entrée 2 2 4" xfId="732"/>
    <cellStyle name="Entrée 2 2 4 2" xfId="733"/>
    <cellStyle name="Entrée 2 2 5" xfId="734"/>
    <cellStyle name="Entrée 2 2 6" xfId="735"/>
    <cellStyle name="Entrée 2 3" xfId="80"/>
    <cellStyle name="Entrée 2 3 2" xfId="736"/>
    <cellStyle name="Entrée 2 3 3" xfId="737"/>
    <cellStyle name="Entrée 2 3 4" xfId="738"/>
    <cellStyle name="Entrée 2 4" xfId="81"/>
    <cellStyle name="Entrée 2 4 2" xfId="739"/>
    <cellStyle name="Entrée 2 4 3" xfId="740"/>
    <cellStyle name="Entrée 2 4 4" xfId="741"/>
    <cellStyle name="Entrée 2 5" xfId="240"/>
    <cellStyle name="Entrée 2 5 2" xfId="742"/>
    <cellStyle name="Entrée 2 5 3" xfId="743"/>
    <cellStyle name="Entrée 2 5 4" xfId="744"/>
    <cellStyle name="Entrée 2 6" xfId="241"/>
    <cellStyle name="Entrée 2 6 2" xfId="745"/>
    <cellStyle name="Entrée 2 7" xfId="242"/>
    <cellStyle name="Entrée 2 7 2" xfId="746"/>
    <cellStyle name="Entrée 2 8" xfId="243"/>
    <cellStyle name="Entrée 2 8 2" xfId="747"/>
    <cellStyle name="Entrée 2 9" xfId="748"/>
    <cellStyle name="Entrée 2 9 2" xfId="749"/>
    <cellStyle name="Entrée 3" xfId="82"/>
    <cellStyle name="Entrée 3 10" xfId="750"/>
    <cellStyle name="Entrée 3 11" xfId="751"/>
    <cellStyle name="Entrée 3 12" xfId="752"/>
    <cellStyle name="Entrée 3 2" xfId="83"/>
    <cellStyle name="Entrée 3 2 2" xfId="753"/>
    <cellStyle name="Entrée 3 2 2 2" xfId="754"/>
    <cellStyle name="Entrée 3 2 2 3" xfId="755"/>
    <cellStyle name="Entrée 3 2 2 4" xfId="756"/>
    <cellStyle name="Entrée 3 2 3" xfId="757"/>
    <cellStyle name="Entrée 3 2 3 2" xfId="758"/>
    <cellStyle name="Entrée 3 2 3 3" xfId="759"/>
    <cellStyle name="Entrée 3 2 4" xfId="760"/>
    <cellStyle name="Entrée 3 2 4 2" xfId="761"/>
    <cellStyle name="Entrée 3 2 5" xfId="762"/>
    <cellStyle name="Entrée 3 2 6" xfId="763"/>
    <cellStyle name="Entrée 3 3" xfId="84"/>
    <cellStyle name="Entrée 3 3 2" xfId="764"/>
    <cellStyle name="Entrée 3 3 3" xfId="765"/>
    <cellStyle name="Entrée 3 3 4" xfId="766"/>
    <cellStyle name="Entrée 3 4" xfId="85"/>
    <cellStyle name="Entrée 3 4 2" xfId="767"/>
    <cellStyle name="Entrée 3 4 3" xfId="768"/>
    <cellStyle name="Entrée 3 4 4" xfId="769"/>
    <cellStyle name="Entrée 3 5" xfId="244"/>
    <cellStyle name="Entrée 3 5 2" xfId="770"/>
    <cellStyle name="Entrée 3 5 3" xfId="771"/>
    <cellStyle name="Entrée 3 5 4" xfId="772"/>
    <cellStyle name="Entrée 3 6" xfId="245"/>
    <cellStyle name="Entrée 3 6 2" xfId="773"/>
    <cellStyle name="Entrée 3 7" xfId="246"/>
    <cellStyle name="Entrée 3 7 2" xfId="774"/>
    <cellStyle name="Entrée 3 8" xfId="247"/>
    <cellStyle name="Entrée 3 8 2" xfId="775"/>
    <cellStyle name="Entrée 3 9" xfId="776"/>
    <cellStyle name="Entrée 3 9 2" xfId="777"/>
    <cellStyle name="Entrée 4" xfId="86"/>
    <cellStyle name="Entrée 4 10" xfId="778"/>
    <cellStyle name="Entrée 4 11" xfId="779"/>
    <cellStyle name="Entrée 4 12" xfId="780"/>
    <cellStyle name="Entrée 4 2" xfId="87"/>
    <cellStyle name="Entrée 4 2 2" xfId="781"/>
    <cellStyle name="Entrée 4 2 2 2" xfId="782"/>
    <cellStyle name="Entrée 4 2 2 3" xfId="783"/>
    <cellStyle name="Entrée 4 2 2 4" xfId="784"/>
    <cellStyle name="Entrée 4 2 3" xfId="785"/>
    <cellStyle name="Entrée 4 2 3 2" xfId="786"/>
    <cellStyle name="Entrée 4 2 3 3" xfId="787"/>
    <cellStyle name="Entrée 4 2 4" xfId="788"/>
    <cellStyle name="Entrée 4 2 4 2" xfId="789"/>
    <cellStyle name="Entrée 4 2 5" xfId="790"/>
    <cellStyle name="Entrée 4 2 6" xfId="791"/>
    <cellStyle name="Entrée 4 3" xfId="88"/>
    <cellStyle name="Entrée 4 3 2" xfId="792"/>
    <cellStyle name="Entrée 4 3 3" xfId="793"/>
    <cellStyle name="Entrée 4 3 4" xfId="794"/>
    <cellStyle name="Entrée 4 4" xfId="89"/>
    <cellStyle name="Entrée 4 4 2" xfId="795"/>
    <cellStyle name="Entrée 4 4 3" xfId="796"/>
    <cellStyle name="Entrée 4 4 4" xfId="797"/>
    <cellStyle name="Entrée 4 5" xfId="248"/>
    <cellStyle name="Entrée 4 5 2" xfId="798"/>
    <cellStyle name="Entrée 4 5 3" xfId="799"/>
    <cellStyle name="Entrée 4 5 4" xfId="800"/>
    <cellStyle name="Entrée 4 6" xfId="249"/>
    <cellStyle name="Entrée 4 6 2" xfId="801"/>
    <cellStyle name="Entrée 4 7" xfId="250"/>
    <cellStyle name="Entrée 4 7 2" xfId="802"/>
    <cellStyle name="Entrée 4 8" xfId="251"/>
    <cellStyle name="Entrée 4 8 2" xfId="803"/>
    <cellStyle name="Entrée 4 9" xfId="804"/>
    <cellStyle name="Entrée 4 9 2" xfId="805"/>
    <cellStyle name="Entrée 5" xfId="90"/>
    <cellStyle name="Entrée 5 10" xfId="806"/>
    <cellStyle name="Entrée 5 11" xfId="807"/>
    <cellStyle name="Entrée 5 12" xfId="808"/>
    <cellStyle name="Entrée 5 2" xfId="91"/>
    <cellStyle name="Entrée 5 2 2" xfId="809"/>
    <cellStyle name="Entrée 5 2 3" xfId="810"/>
    <cellStyle name="Entrée 5 2 4" xfId="811"/>
    <cellStyle name="Entrée 5 3" xfId="92"/>
    <cellStyle name="Entrée 5 3 2" xfId="812"/>
    <cellStyle name="Entrée 5 3 3" xfId="813"/>
    <cellStyle name="Entrée 5 3 4" xfId="814"/>
    <cellStyle name="Entrée 5 4" xfId="93"/>
    <cellStyle name="Entrée 5 4 2" xfId="815"/>
    <cellStyle name="Entrée 5 4 3" xfId="816"/>
    <cellStyle name="Entrée 5 4 4" xfId="817"/>
    <cellStyle name="Entrée 5 5" xfId="252"/>
    <cellStyle name="Entrée 5 5 2" xfId="818"/>
    <cellStyle name="Entrée 5 6" xfId="253"/>
    <cellStyle name="Entrée 5 6 2" xfId="819"/>
    <cellStyle name="Entrée 5 7" xfId="254"/>
    <cellStyle name="Entrée 5 7 2" xfId="820"/>
    <cellStyle name="Entrée 5 8" xfId="255"/>
    <cellStyle name="Entrée 5 8 2" xfId="821"/>
    <cellStyle name="Entrée 5 9" xfId="822"/>
    <cellStyle name="Entrée 5 9 2" xfId="823"/>
    <cellStyle name="Entrée 6" xfId="94"/>
    <cellStyle name="Entrée 6 10" xfId="824"/>
    <cellStyle name="Entrée 6 11" xfId="825"/>
    <cellStyle name="Entrée 6 12" xfId="826"/>
    <cellStyle name="Entrée 6 2" xfId="95"/>
    <cellStyle name="Entrée 6 2 2" xfId="827"/>
    <cellStyle name="Entrée 6 2 3" xfId="828"/>
    <cellStyle name="Entrée 6 2 4" xfId="829"/>
    <cellStyle name="Entrée 6 3" xfId="96"/>
    <cellStyle name="Entrée 6 3 2" xfId="830"/>
    <cellStyle name="Entrée 6 3 3" xfId="831"/>
    <cellStyle name="Entrée 6 3 4" xfId="832"/>
    <cellStyle name="Entrée 6 4" xfId="97"/>
    <cellStyle name="Entrée 6 4 2" xfId="833"/>
    <cellStyle name="Entrée 6 4 3" xfId="834"/>
    <cellStyle name="Entrée 6 4 4" xfId="835"/>
    <cellStyle name="Entrée 6 5" xfId="256"/>
    <cellStyle name="Entrée 6 5 2" xfId="836"/>
    <cellStyle name="Entrée 6 6" xfId="257"/>
    <cellStyle name="Entrée 6 6 2" xfId="837"/>
    <cellStyle name="Entrée 6 7" xfId="258"/>
    <cellStyle name="Entrée 6 7 2" xfId="838"/>
    <cellStyle name="Entrée 6 8" xfId="259"/>
    <cellStyle name="Entrée 6 8 2" xfId="839"/>
    <cellStyle name="Entrée 6 9" xfId="840"/>
    <cellStyle name="Entrée 6 9 2" xfId="841"/>
    <cellStyle name="Entrée 7" xfId="98"/>
    <cellStyle name="Entrée 7 10" xfId="842"/>
    <cellStyle name="Entrée 7 11" xfId="843"/>
    <cellStyle name="Entrée 7 12" xfId="844"/>
    <cellStyle name="Entrée 7 2" xfId="99"/>
    <cellStyle name="Entrée 7 2 2" xfId="845"/>
    <cellStyle name="Entrée 7 2 3" xfId="846"/>
    <cellStyle name="Entrée 7 2 4" xfId="847"/>
    <cellStyle name="Entrée 7 3" xfId="100"/>
    <cellStyle name="Entrée 7 3 2" xfId="848"/>
    <cellStyle name="Entrée 7 3 3" xfId="849"/>
    <cellStyle name="Entrée 7 3 4" xfId="850"/>
    <cellStyle name="Entrée 7 4" xfId="101"/>
    <cellStyle name="Entrée 7 4 2" xfId="851"/>
    <cellStyle name="Entrée 7 4 3" xfId="852"/>
    <cellStyle name="Entrée 7 4 4" xfId="853"/>
    <cellStyle name="Entrée 7 5" xfId="260"/>
    <cellStyle name="Entrée 7 5 2" xfId="854"/>
    <cellStyle name="Entrée 7 6" xfId="261"/>
    <cellStyle name="Entrée 7 6 2" xfId="855"/>
    <cellStyle name="Entrée 7 7" xfId="262"/>
    <cellStyle name="Entrée 7 7 2" xfId="856"/>
    <cellStyle name="Entrée 7 8" xfId="263"/>
    <cellStyle name="Entrée 7 8 2" xfId="857"/>
    <cellStyle name="Entrée 7 9" xfId="858"/>
    <cellStyle name="Entrée 7 9 2" xfId="859"/>
    <cellStyle name="Entrée 8" xfId="264"/>
    <cellStyle name="Entrée 8 10" xfId="860"/>
    <cellStyle name="Entrée 8 11" xfId="861"/>
    <cellStyle name="Entrée 8 12" xfId="862"/>
    <cellStyle name="Entrée 8 2" xfId="265"/>
    <cellStyle name="Entrée 8 2 2" xfId="863"/>
    <cellStyle name="Entrée 8 2 3" xfId="864"/>
    <cellStyle name="Entrée 8 2 4" xfId="865"/>
    <cellStyle name="Entrée 8 3" xfId="266"/>
    <cellStyle name="Entrée 8 3 2" xfId="866"/>
    <cellStyle name="Entrée 8 3 3" xfId="867"/>
    <cellStyle name="Entrée 8 3 4" xfId="868"/>
    <cellStyle name="Entrée 8 4" xfId="267"/>
    <cellStyle name="Entrée 8 4 2" xfId="869"/>
    <cellStyle name="Entrée 8 4 3" xfId="870"/>
    <cellStyle name="Entrée 8 4 4" xfId="871"/>
    <cellStyle name="Entrée 8 5" xfId="268"/>
    <cellStyle name="Entrée 8 5 2" xfId="872"/>
    <cellStyle name="Entrée 8 6" xfId="269"/>
    <cellStyle name="Entrée 8 6 2" xfId="873"/>
    <cellStyle name="Entrée 8 7" xfId="270"/>
    <cellStyle name="Entrée 8 7 2" xfId="874"/>
    <cellStyle name="Entrée 8 8" xfId="271"/>
    <cellStyle name="Entrée 8 8 2" xfId="875"/>
    <cellStyle name="Entrée 8 9" xfId="876"/>
    <cellStyle name="Entrée 8 9 2" xfId="877"/>
    <cellStyle name="Entrée 9" xfId="878"/>
    <cellStyle name="Entrée 9 2" xfId="879"/>
    <cellStyle name="Entrée 9 2 2" xfId="880"/>
    <cellStyle name="Entrée 9 2 3" xfId="881"/>
    <cellStyle name="Entrée 9 3" xfId="882"/>
    <cellStyle name="Entrée 9 3 2" xfId="883"/>
    <cellStyle name="Entrée 9 4" xfId="884"/>
    <cellStyle name="Entrée 9 4 2" xfId="885"/>
    <cellStyle name="Entrée 9 5" xfId="886"/>
    <cellStyle name="Entrée 9 6" xfId="887"/>
    <cellStyle name="Insatisfaisant 2" xfId="102"/>
    <cellStyle name="Milliers" xfId="340" builtinId="3"/>
    <cellStyle name="Milliers 2" xfId="103"/>
    <cellStyle name="Milliers 2 2" xfId="175"/>
    <cellStyle name="Milliers 3" xfId="104"/>
    <cellStyle name="Neutre 2" xfId="105"/>
    <cellStyle name="Normal" xfId="0" builtinId="0"/>
    <cellStyle name="Normal 10" xfId="338"/>
    <cellStyle name="Normal 11" xfId="341"/>
    <cellStyle name="Normal 12" xfId="1285"/>
    <cellStyle name="Normal 13" xfId="1286"/>
    <cellStyle name="Normal 2" xfId="2"/>
    <cellStyle name="Normal 2 2" xfId="106"/>
    <cellStyle name="Normal 2 3" xfId="174"/>
    <cellStyle name="Normal 3" xfId="107"/>
    <cellStyle name="Normal 4" xfId="108"/>
    <cellStyle name="Normal 4 2" xfId="337"/>
    <cellStyle name="Normal 4 2 2" xfId="888"/>
    <cellStyle name="Normal 4 2 2 2" xfId="889"/>
    <cellStyle name="Normal 4 2 2 2 2" xfId="890"/>
    <cellStyle name="Normal 4 2 2 3" xfId="891"/>
    <cellStyle name="Normal 4 2 2 4" xfId="892"/>
    <cellStyle name="Normal 4 2 3" xfId="893"/>
    <cellStyle name="Normal 4 2 3 2" xfId="894"/>
    <cellStyle name="Normal 4 2 4" xfId="895"/>
    <cellStyle name="Normal 4 2 5" xfId="896"/>
    <cellStyle name="Normal 4 3" xfId="339"/>
    <cellStyle name="Normal 4 3 2" xfId="897"/>
    <cellStyle name="Normal 4 3 2 2" xfId="898"/>
    <cellStyle name="Normal 4 3 3" xfId="899"/>
    <cellStyle name="Normal 4 3 4" xfId="900"/>
    <cellStyle name="Normal 4 4" xfId="901"/>
    <cellStyle name="Normal 4 4 2" xfId="902"/>
    <cellStyle name="Normal 4 4 2 2" xfId="903"/>
    <cellStyle name="Normal 4 4 3" xfId="904"/>
    <cellStyle name="Normal 4 4 4" xfId="905"/>
    <cellStyle name="Normal 4 5" xfId="906"/>
    <cellStyle name="Normal 4 5 2" xfId="907"/>
    <cellStyle name="Normal 4 5 3" xfId="908"/>
    <cellStyle name="Normal 4 6" xfId="909"/>
    <cellStyle name="Normal 4 7" xfId="910"/>
    <cellStyle name="Normal 5" xfId="109"/>
    <cellStyle name="Normal 5 2" xfId="110"/>
    <cellStyle name="Normal 5 3" xfId="911"/>
    <cellStyle name="Normal 5 4" xfId="1282"/>
    <cellStyle name="Normal 6" xfId="111"/>
    <cellStyle name="Normal 7" xfId="112"/>
    <cellStyle name="Normal 8" xfId="113"/>
    <cellStyle name="Normal 9" xfId="336"/>
    <cellStyle name="Pourcentage" xfId="1" builtinId="5"/>
    <cellStyle name="Pourcentage 2" xfId="3"/>
    <cellStyle name="Pourcentage 3" xfId="114"/>
    <cellStyle name="Pourcentage 3 2" xfId="115"/>
    <cellStyle name="Pourcentage 3 3" xfId="912"/>
    <cellStyle name="Pourcentage 3 4" xfId="1283"/>
    <cellStyle name="Pourcentage 4" xfId="116"/>
    <cellStyle name="Pourcentage 4 2" xfId="913"/>
    <cellStyle name="Pourcentage 5" xfId="117"/>
    <cellStyle name="Pourcentage 5 2" xfId="914"/>
    <cellStyle name="Pourcentage 6" xfId="915"/>
    <cellStyle name="Pourcentage 7" xfId="916"/>
    <cellStyle name="Pourcentage 7 2" xfId="1284"/>
    <cellStyle name="Pourcentage 8" xfId="917"/>
    <cellStyle name="Satisfaisant 2" xfId="118"/>
    <cellStyle name="Sortie 10" xfId="918"/>
    <cellStyle name="Sortie 10 2" xfId="919"/>
    <cellStyle name="Sortie 10 2 2" xfId="920"/>
    <cellStyle name="Sortie 10 2 3" xfId="921"/>
    <cellStyle name="Sortie 10 3" xfId="922"/>
    <cellStyle name="Sortie 10 3 2" xfId="923"/>
    <cellStyle name="Sortie 10 4" xfId="924"/>
    <cellStyle name="Sortie 10 5" xfId="925"/>
    <cellStyle name="Sortie 11" xfId="926"/>
    <cellStyle name="Sortie 11 2" xfId="927"/>
    <cellStyle name="Sortie 11 2 2" xfId="928"/>
    <cellStyle name="Sortie 11 3" xfId="929"/>
    <cellStyle name="Sortie 11 3 2" xfId="930"/>
    <cellStyle name="Sortie 11 4" xfId="931"/>
    <cellStyle name="Sortie 12" xfId="932"/>
    <cellStyle name="Sortie 12 2" xfId="933"/>
    <cellStyle name="Sortie 2" xfId="119"/>
    <cellStyle name="Sortie 2 10" xfId="934"/>
    <cellStyle name="Sortie 2 11" xfId="935"/>
    <cellStyle name="Sortie 2 12" xfId="936"/>
    <cellStyle name="Sortie 2 2" xfId="120"/>
    <cellStyle name="Sortie 2 2 2" xfId="937"/>
    <cellStyle name="Sortie 2 2 2 2" xfId="938"/>
    <cellStyle name="Sortie 2 2 2 3" xfId="939"/>
    <cellStyle name="Sortie 2 2 2 4" xfId="940"/>
    <cellStyle name="Sortie 2 2 3" xfId="941"/>
    <cellStyle name="Sortie 2 2 3 2" xfId="942"/>
    <cellStyle name="Sortie 2 2 3 3" xfId="943"/>
    <cellStyle name="Sortie 2 2 4" xfId="944"/>
    <cellStyle name="Sortie 2 2 4 2" xfId="945"/>
    <cellStyle name="Sortie 2 2 5" xfId="946"/>
    <cellStyle name="Sortie 2 2 6" xfId="947"/>
    <cellStyle name="Sortie 2 3" xfId="121"/>
    <cellStyle name="Sortie 2 3 2" xfId="948"/>
    <cellStyle name="Sortie 2 3 3" xfId="949"/>
    <cellStyle name="Sortie 2 3 4" xfId="950"/>
    <cellStyle name="Sortie 2 4" xfId="122"/>
    <cellStyle name="Sortie 2 4 2" xfId="951"/>
    <cellStyle name="Sortie 2 4 3" xfId="952"/>
    <cellStyle name="Sortie 2 4 4" xfId="953"/>
    <cellStyle name="Sortie 2 5" xfId="272"/>
    <cellStyle name="Sortie 2 5 2" xfId="954"/>
    <cellStyle name="Sortie 2 5 3" xfId="955"/>
    <cellStyle name="Sortie 2 5 4" xfId="956"/>
    <cellStyle name="Sortie 2 6" xfId="273"/>
    <cellStyle name="Sortie 2 6 2" xfId="957"/>
    <cellStyle name="Sortie 2 7" xfId="274"/>
    <cellStyle name="Sortie 2 7 2" xfId="958"/>
    <cellStyle name="Sortie 2 8" xfId="275"/>
    <cellStyle name="Sortie 2 8 2" xfId="959"/>
    <cellStyle name="Sortie 2 9" xfId="960"/>
    <cellStyle name="Sortie 2 9 2" xfId="961"/>
    <cellStyle name="Sortie 3" xfId="123"/>
    <cellStyle name="Sortie 3 10" xfId="962"/>
    <cellStyle name="Sortie 3 11" xfId="963"/>
    <cellStyle name="Sortie 3 12" xfId="964"/>
    <cellStyle name="Sortie 3 2" xfId="124"/>
    <cellStyle name="Sortie 3 2 2" xfId="965"/>
    <cellStyle name="Sortie 3 2 2 2" xfId="966"/>
    <cellStyle name="Sortie 3 2 2 3" xfId="967"/>
    <cellStyle name="Sortie 3 2 2 4" xfId="968"/>
    <cellStyle name="Sortie 3 2 3" xfId="969"/>
    <cellStyle name="Sortie 3 2 3 2" xfId="970"/>
    <cellStyle name="Sortie 3 2 3 3" xfId="971"/>
    <cellStyle name="Sortie 3 2 4" xfId="972"/>
    <cellStyle name="Sortie 3 2 4 2" xfId="973"/>
    <cellStyle name="Sortie 3 2 5" xfId="974"/>
    <cellStyle name="Sortie 3 2 6" xfId="975"/>
    <cellStyle name="Sortie 3 3" xfId="125"/>
    <cellStyle name="Sortie 3 3 2" xfId="976"/>
    <cellStyle name="Sortie 3 3 3" xfId="977"/>
    <cellStyle name="Sortie 3 3 4" xfId="978"/>
    <cellStyle name="Sortie 3 4" xfId="126"/>
    <cellStyle name="Sortie 3 4 2" xfId="979"/>
    <cellStyle name="Sortie 3 4 3" xfId="980"/>
    <cellStyle name="Sortie 3 4 4" xfId="981"/>
    <cellStyle name="Sortie 3 5" xfId="276"/>
    <cellStyle name="Sortie 3 5 2" xfId="982"/>
    <cellStyle name="Sortie 3 5 3" xfId="983"/>
    <cellStyle name="Sortie 3 5 4" xfId="984"/>
    <cellStyle name="Sortie 3 6" xfId="277"/>
    <cellStyle name="Sortie 3 6 2" xfId="985"/>
    <cellStyle name="Sortie 3 7" xfId="278"/>
    <cellStyle name="Sortie 3 7 2" xfId="986"/>
    <cellStyle name="Sortie 3 8" xfId="279"/>
    <cellStyle name="Sortie 3 8 2" xfId="987"/>
    <cellStyle name="Sortie 3 9" xfId="988"/>
    <cellStyle name="Sortie 3 9 2" xfId="989"/>
    <cellStyle name="Sortie 4" xfId="127"/>
    <cellStyle name="Sortie 4 10" xfId="990"/>
    <cellStyle name="Sortie 4 11" xfId="991"/>
    <cellStyle name="Sortie 4 12" xfId="992"/>
    <cellStyle name="Sortie 4 2" xfId="128"/>
    <cellStyle name="Sortie 4 2 2" xfId="993"/>
    <cellStyle name="Sortie 4 2 2 2" xfId="994"/>
    <cellStyle name="Sortie 4 2 2 3" xfId="995"/>
    <cellStyle name="Sortie 4 2 2 4" xfId="996"/>
    <cellStyle name="Sortie 4 2 3" xfId="997"/>
    <cellStyle name="Sortie 4 2 3 2" xfId="998"/>
    <cellStyle name="Sortie 4 2 3 3" xfId="999"/>
    <cellStyle name="Sortie 4 2 4" xfId="1000"/>
    <cellStyle name="Sortie 4 2 4 2" xfId="1001"/>
    <cellStyle name="Sortie 4 2 5" xfId="1002"/>
    <cellStyle name="Sortie 4 2 6" xfId="1003"/>
    <cellStyle name="Sortie 4 3" xfId="129"/>
    <cellStyle name="Sortie 4 3 2" xfId="1004"/>
    <cellStyle name="Sortie 4 3 3" xfId="1005"/>
    <cellStyle name="Sortie 4 3 4" xfId="1006"/>
    <cellStyle name="Sortie 4 4" xfId="130"/>
    <cellStyle name="Sortie 4 4 2" xfId="1007"/>
    <cellStyle name="Sortie 4 4 3" xfId="1008"/>
    <cellStyle name="Sortie 4 4 4" xfId="1009"/>
    <cellStyle name="Sortie 4 5" xfId="280"/>
    <cellStyle name="Sortie 4 5 2" xfId="1010"/>
    <cellStyle name="Sortie 4 5 3" xfId="1011"/>
    <cellStyle name="Sortie 4 5 4" xfId="1012"/>
    <cellStyle name="Sortie 4 6" xfId="281"/>
    <cellStyle name="Sortie 4 6 2" xfId="1013"/>
    <cellStyle name="Sortie 4 7" xfId="282"/>
    <cellStyle name="Sortie 4 7 2" xfId="1014"/>
    <cellStyle name="Sortie 4 8" xfId="283"/>
    <cellStyle name="Sortie 4 8 2" xfId="1015"/>
    <cellStyle name="Sortie 4 9" xfId="1016"/>
    <cellStyle name="Sortie 4 9 2" xfId="1017"/>
    <cellStyle name="Sortie 5" xfId="131"/>
    <cellStyle name="Sortie 5 10" xfId="1018"/>
    <cellStyle name="Sortie 5 11" xfId="1019"/>
    <cellStyle name="Sortie 5 12" xfId="1020"/>
    <cellStyle name="Sortie 5 2" xfId="132"/>
    <cellStyle name="Sortie 5 2 2" xfId="1021"/>
    <cellStyle name="Sortie 5 2 3" xfId="1022"/>
    <cellStyle name="Sortie 5 2 4" xfId="1023"/>
    <cellStyle name="Sortie 5 3" xfId="133"/>
    <cellStyle name="Sortie 5 3 2" xfId="1024"/>
    <cellStyle name="Sortie 5 3 3" xfId="1025"/>
    <cellStyle name="Sortie 5 3 4" xfId="1026"/>
    <cellStyle name="Sortie 5 4" xfId="134"/>
    <cellStyle name="Sortie 5 4 2" xfId="1027"/>
    <cellStyle name="Sortie 5 4 3" xfId="1028"/>
    <cellStyle name="Sortie 5 4 4" xfId="1029"/>
    <cellStyle name="Sortie 5 5" xfId="284"/>
    <cellStyle name="Sortie 5 5 2" xfId="1030"/>
    <cellStyle name="Sortie 5 6" xfId="285"/>
    <cellStyle name="Sortie 5 6 2" xfId="1031"/>
    <cellStyle name="Sortie 5 7" xfId="286"/>
    <cellStyle name="Sortie 5 7 2" xfId="1032"/>
    <cellStyle name="Sortie 5 8" xfId="287"/>
    <cellStyle name="Sortie 5 8 2" xfId="1033"/>
    <cellStyle name="Sortie 5 9" xfId="1034"/>
    <cellStyle name="Sortie 5 9 2" xfId="1035"/>
    <cellStyle name="Sortie 6" xfId="135"/>
    <cellStyle name="Sortie 6 10" xfId="1036"/>
    <cellStyle name="Sortie 6 11" xfId="1037"/>
    <cellStyle name="Sortie 6 12" xfId="1038"/>
    <cellStyle name="Sortie 6 2" xfId="136"/>
    <cellStyle name="Sortie 6 2 2" xfId="1039"/>
    <cellStyle name="Sortie 6 2 3" xfId="1040"/>
    <cellStyle name="Sortie 6 2 4" xfId="1041"/>
    <cellStyle name="Sortie 6 3" xfId="137"/>
    <cellStyle name="Sortie 6 3 2" xfId="1042"/>
    <cellStyle name="Sortie 6 3 3" xfId="1043"/>
    <cellStyle name="Sortie 6 3 4" xfId="1044"/>
    <cellStyle name="Sortie 6 4" xfId="138"/>
    <cellStyle name="Sortie 6 4 2" xfId="1045"/>
    <cellStyle name="Sortie 6 4 3" xfId="1046"/>
    <cellStyle name="Sortie 6 4 4" xfId="1047"/>
    <cellStyle name="Sortie 6 5" xfId="288"/>
    <cellStyle name="Sortie 6 5 2" xfId="1048"/>
    <cellStyle name="Sortie 6 6" xfId="289"/>
    <cellStyle name="Sortie 6 6 2" xfId="1049"/>
    <cellStyle name="Sortie 6 7" xfId="290"/>
    <cellStyle name="Sortie 6 7 2" xfId="1050"/>
    <cellStyle name="Sortie 6 8" xfId="291"/>
    <cellStyle name="Sortie 6 8 2" xfId="1051"/>
    <cellStyle name="Sortie 6 9" xfId="1052"/>
    <cellStyle name="Sortie 6 9 2" xfId="1053"/>
    <cellStyle name="Sortie 7" xfId="139"/>
    <cellStyle name="Sortie 7 10" xfId="1054"/>
    <cellStyle name="Sortie 7 11" xfId="1055"/>
    <cellStyle name="Sortie 7 12" xfId="1056"/>
    <cellStyle name="Sortie 7 2" xfId="140"/>
    <cellStyle name="Sortie 7 2 2" xfId="1057"/>
    <cellStyle name="Sortie 7 2 3" xfId="1058"/>
    <cellStyle name="Sortie 7 2 4" xfId="1059"/>
    <cellStyle name="Sortie 7 3" xfId="141"/>
    <cellStyle name="Sortie 7 3 2" xfId="1060"/>
    <cellStyle name="Sortie 7 3 3" xfId="1061"/>
    <cellStyle name="Sortie 7 3 4" xfId="1062"/>
    <cellStyle name="Sortie 7 4" xfId="142"/>
    <cellStyle name="Sortie 7 4 2" xfId="1063"/>
    <cellStyle name="Sortie 7 4 3" xfId="1064"/>
    <cellStyle name="Sortie 7 4 4" xfId="1065"/>
    <cellStyle name="Sortie 7 5" xfId="292"/>
    <cellStyle name="Sortie 7 5 2" xfId="1066"/>
    <cellStyle name="Sortie 7 6" xfId="293"/>
    <cellStyle name="Sortie 7 6 2" xfId="1067"/>
    <cellStyle name="Sortie 7 7" xfId="294"/>
    <cellStyle name="Sortie 7 7 2" xfId="1068"/>
    <cellStyle name="Sortie 7 8" xfId="295"/>
    <cellStyle name="Sortie 7 8 2" xfId="1069"/>
    <cellStyle name="Sortie 7 9" xfId="1070"/>
    <cellStyle name="Sortie 7 9 2" xfId="1071"/>
    <cellStyle name="Sortie 8" xfId="296"/>
    <cellStyle name="Sortie 8 10" xfId="1072"/>
    <cellStyle name="Sortie 8 11" xfId="1073"/>
    <cellStyle name="Sortie 8 12" xfId="1074"/>
    <cellStyle name="Sortie 8 2" xfId="297"/>
    <cellStyle name="Sortie 8 2 2" xfId="1075"/>
    <cellStyle name="Sortie 8 2 3" xfId="1076"/>
    <cellStyle name="Sortie 8 2 4" xfId="1077"/>
    <cellStyle name="Sortie 8 3" xfId="298"/>
    <cellStyle name="Sortie 8 3 2" xfId="1078"/>
    <cellStyle name="Sortie 8 3 3" xfId="1079"/>
    <cellStyle name="Sortie 8 3 4" xfId="1080"/>
    <cellStyle name="Sortie 8 4" xfId="299"/>
    <cellStyle name="Sortie 8 4 2" xfId="1081"/>
    <cellStyle name="Sortie 8 4 3" xfId="1082"/>
    <cellStyle name="Sortie 8 4 4" xfId="1083"/>
    <cellStyle name="Sortie 8 5" xfId="300"/>
    <cellStyle name="Sortie 8 5 2" xfId="1084"/>
    <cellStyle name="Sortie 8 6" xfId="301"/>
    <cellStyle name="Sortie 8 6 2" xfId="1085"/>
    <cellStyle name="Sortie 8 7" xfId="302"/>
    <cellStyle name="Sortie 8 7 2" xfId="1086"/>
    <cellStyle name="Sortie 8 8" xfId="303"/>
    <cellStyle name="Sortie 8 8 2" xfId="1087"/>
    <cellStyle name="Sortie 8 9" xfId="1088"/>
    <cellStyle name="Sortie 8 9 2" xfId="1089"/>
    <cellStyle name="Sortie 9" xfId="1090"/>
    <cellStyle name="Sortie 9 2" xfId="1091"/>
    <cellStyle name="Sortie 9 2 2" xfId="1092"/>
    <cellStyle name="Sortie 9 2 3" xfId="1093"/>
    <cellStyle name="Sortie 9 3" xfId="1094"/>
    <cellStyle name="Sortie 9 3 2" xfId="1095"/>
    <cellStyle name="Sortie 9 4" xfId="1096"/>
    <cellStyle name="Sortie 9 4 2" xfId="1097"/>
    <cellStyle name="Sortie 9 5" xfId="1098"/>
    <cellStyle name="Sortie 9 6" xfId="1099"/>
    <cellStyle name="Texte explicatif 2" xfId="143"/>
    <cellStyle name="Titre 1" xfId="144"/>
    <cellStyle name="Titre 1 2" xfId="145"/>
    <cellStyle name="Titre 2 2" xfId="146"/>
    <cellStyle name="Titre 3 2" xfId="147"/>
    <cellStyle name="Titre 4 2" xfId="148"/>
    <cellStyle name="Total 10" xfId="1100"/>
    <cellStyle name="Total 10 2" xfId="1101"/>
    <cellStyle name="Total 10 2 2" xfId="1102"/>
    <cellStyle name="Total 10 2 3" xfId="1103"/>
    <cellStyle name="Total 10 3" xfId="1104"/>
    <cellStyle name="Total 10 3 2" xfId="1105"/>
    <cellStyle name="Total 10 4" xfId="1106"/>
    <cellStyle name="Total 10 5" xfId="1107"/>
    <cellStyle name="Total 11" xfId="1108"/>
    <cellStyle name="Total 11 2" xfId="1109"/>
    <cellStyle name="Total 11 2 2" xfId="1110"/>
    <cellStyle name="Total 11 3" xfId="1111"/>
    <cellStyle name="Total 11 3 2" xfId="1112"/>
    <cellStyle name="Total 11 4" xfId="1113"/>
    <cellStyle name="Total 12" xfId="1114"/>
    <cellStyle name="Total 12 2" xfId="1115"/>
    <cellStyle name="Total 2" xfId="149"/>
    <cellStyle name="Total 2 10" xfId="1116"/>
    <cellStyle name="Total 2 11" xfId="1117"/>
    <cellStyle name="Total 2 12" xfId="1118"/>
    <cellStyle name="Total 2 2" xfId="150"/>
    <cellStyle name="Total 2 2 2" xfId="1119"/>
    <cellStyle name="Total 2 2 2 2" xfId="1120"/>
    <cellStyle name="Total 2 2 2 3" xfId="1121"/>
    <cellStyle name="Total 2 2 2 4" xfId="1122"/>
    <cellStyle name="Total 2 2 3" xfId="1123"/>
    <cellStyle name="Total 2 2 3 2" xfId="1124"/>
    <cellStyle name="Total 2 2 3 3" xfId="1125"/>
    <cellStyle name="Total 2 2 4" xfId="1126"/>
    <cellStyle name="Total 2 2 4 2" xfId="1127"/>
    <cellStyle name="Total 2 2 5" xfId="1128"/>
    <cellStyle name="Total 2 2 6" xfId="1129"/>
    <cellStyle name="Total 2 3" xfId="151"/>
    <cellStyle name="Total 2 3 2" xfId="1130"/>
    <cellStyle name="Total 2 3 3" xfId="1131"/>
    <cellStyle name="Total 2 3 4" xfId="1132"/>
    <cellStyle name="Total 2 4" xfId="152"/>
    <cellStyle name="Total 2 4 2" xfId="1133"/>
    <cellStyle name="Total 2 4 3" xfId="1134"/>
    <cellStyle name="Total 2 4 4" xfId="1135"/>
    <cellStyle name="Total 2 5" xfId="304"/>
    <cellStyle name="Total 2 5 2" xfId="1136"/>
    <cellStyle name="Total 2 5 3" xfId="1137"/>
    <cellStyle name="Total 2 5 4" xfId="1138"/>
    <cellStyle name="Total 2 6" xfId="305"/>
    <cellStyle name="Total 2 6 2" xfId="1139"/>
    <cellStyle name="Total 2 7" xfId="306"/>
    <cellStyle name="Total 2 7 2" xfId="1140"/>
    <cellStyle name="Total 2 8" xfId="307"/>
    <cellStyle name="Total 2 8 2" xfId="1141"/>
    <cellStyle name="Total 2 9" xfId="1142"/>
    <cellStyle name="Total 2 9 2" xfId="1143"/>
    <cellStyle name="Total 3" xfId="153"/>
    <cellStyle name="Total 3 10" xfId="1144"/>
    <cellStyle name="Total 3 11" xfId="1145"/>
    <cellStyle name="Total 3 12" xfId="1146"/>
    <cellStyle name="Total 3 2" xfId="154"/>
    <cellStyle name="Total 3 2 2" xfId="1147"/>
    <cellStyle name="Total 3 2 2 2" xfId="1148"/>
    <cellStyle name="Total 3 2 2 3" xfId="1149"/>
    <cellStyle name="Total 3 2 2 4" xfId="1150"/>
    <cellStyle name="Total 3 2 3" xfId="1151"/>
    <cellStyle name="Total 3 2 3 2" xfId="1152"/>
    <cellStyle name="Total 3 2 3 3" xfId="1153"/>
    <cellStyle name="Total 3 2 4" xfId="1154"/>
    <cellStyle name="Total 3 2 4 2" xfId="1155"/>
    <cellStyle name="Total 3 2 5" xfId="1156"/>
    <cellStyle name="Total 3 2 6" xfId="1157"/>
    <cellStyle name="Total 3 3" xfId="155"/>
    <cellStyle name="Total 3 3 2" xfId="1158"/>
    <cellStyle name="Total 3 3 3" xfId="1159"/>
    <cellStyle name="Total 3 3 4" xfId="1160"/>
    <cellStyle name="Total 3 4" xfId="156"/>
    <cellStyle name="Total 3 4 2" xfId="1161"/>
    <cellStyle name="Total 3 4 3" xfId="1162"/>
    <cellStyle name="Total 3 4 4" xfId="1163"/>
    <cellStyle name="Total 3 5" xfId="308"/>
    <cellStyle name="Total 3 5 2" xfId="1164"/>
    <cellStyle name="Total 3 5 3" xfId="1165"/>
    <cellStyle name="Total 3 5 4" xfId="1166"/>
    <cellStyle name="Total 3 6" xfId="309"/>
    <cellStyle name="Total 3 6 2" xfId="1167"/>
    <cellStyle name="Total 3 7" xfId="310"/>
    <cellStyle name="Total 3 7 2" xfId="1168"/>
    <cellStyle name="Total 3 8" xfId="311"/>
    <cellStyle name="Total 3 8 2" xfId="1169"/>
    <cellStyle name="Total 3 9" xfId="1170"/>
    <cellStyle name="Total 3 9 2" xfId="1171"/>
    <cellStyle name="Total 4" xfId="157"/>
    <cellStyle name="Total 4 10" xfId="1172"/>
    <cellStyle name="Total 4 11" xfId="1173"/>
    <cellStyle name="Total 4 12" xfId="1174"/>
    <cellStyle name="Total 4 2" xfId="158"/>
    <cellStyle name="Total 4 2 2" xfId="1175"/>
    <cellStyle name="Total 4 2 2 2" xfId="1176"/>
    <cellStyle name="Total 4 2 2 3" xfId="1177"/>
    <cellStyle name="Total 4 2 2 4" xfId="1178"/>
    <cellStyle name="Total 4 2 3" xfId="1179"/>
    <cellStyle name="Total 4 2 3 2" xfId="1180"/>
    <cellStyle name="Total 4 2 3 3" xfId="1181"/>
    <cellStyle name="Total 4 2 4" xfId="1182"/>
    <cellStyle name="Total 4 2 4 2" xfId="1183"/>
    <cellStyle name="Total 4 2 5" xfId="1184"/>
    <cellStyle name="Total 4 2 6" xfId="1185"/>
    <cellStyle name="Total 4 3" xfId="159"/>
    <cellStyle name="Total 4 3 2" xfId="1186"/>
    <cellStyle name="Total 4 3 3" xfId="1187"/>
    <cellStyle name="Total 4 3 4" xfId="1188"/>
    <cellStyle name="Total 4 4" xfId="160"/>
    <cellStyle name="Total 4 4 2" xfId="1189"/>
    <cellStyle name="Total 4 4 3" xfId="1190"/>
    <cellStyle name="Total 4 4 4" xfId="1191"/>
    <cellStyle name="Total 4 5" xfId="312"/>
    <cellStyle name="Total 4 5 2" xfId="1192"/>
    <cellStyle name="Total 4 5 3" xfId="1193"/>
    <cellStyle name="Total 4 5 4" xfId="1194"/>
    <cellStyle name="Total 4 6" xfId="313"/>
    <cellStyle name="Total 4 6 2" xfId="1195"/>
    <cellStyle name="Total 4 7" xfId="314"/>
    <cellStyle name="Total 4 7 2" xfId="1196"/>
    <cellStyle name="Total 4 8" xfId="315"/>
    <cellStyle name="Total 4 8 2" xfId="1197"/>
    <cellStyle name="Total 4 9" xfId="1198"/>
    <cellStyle name="Total 4 9 2" xfId="1199"/>
    <cellStyle name="Total 5" xfId="161"/>
    <cellStyle name="Total 5 10" xfId="1200"/>
    <cellStyle name="Total 5 11" xfId="1201"/>
    <cellStyle name="Total 5 12" xfId="1202"/>
    <cellStyle name="Total 5 2" xfId="162"/>
    <cellStyle name="Total 5 2 2" xfId="1203"/>
    <cellStyle name="Total 5 2 3" xfId="1204"/>
    <cellStyle name="Total 5 2 4" xfId="1205"/>
    <cellStyle name="Total 5 3" xfId="163"/>
    <cellStyle name="Total 5 3 2" xfId="1206"/>
    <cellStyle name="Total 5 3 3" xfId="1207"/>
    <cellStyle name="Total 5 3 4" xfId="1208"/>
    <cellStyle name="Total 5 4" xfId="164"/>
    <cellStyle name="Total 5 4 2" xfId="1209"/>
    <cellStyle name="Total 5 4 3" xfId="1210"/>
    <cellStyle name="Total 5 4 4" xfId="1211"/>
    <cellStyle name="Total 5 5" xfId="316"/>
    <cellStyle name="Total 5 5 2" xfId="1212"/>
    <cellStyle name="Total 5 6" xfId="317"/>
    <cellStyle name="Total 5 6 2" xfId="1213"/>
    <cellStyle name="Total 5 7" xfId="318"/>
    <cellStyle name="Total 5 7 2" xfId="1214"/>
    <cellStyle name="Total 5 8" xfId="319"/>
    <cellStyle name="Total 5 8 2" xfId="1215"/>
    <cellStyle name="Total 5 9" xfId="1216"/>
    <cellStyle name="Total 5 9 2" xfId="1217"/>
    <cellStyle name="Total 6" xfId="165"/>
    <cellStyle name="Total 6 10" xfId="1218"/>
    <cellStyle name="Total 6 11" xfId="1219"/>
    <cellStyle name="Total 6 12" xfId="1220"/>
    <cellStyle name="Total 6 2" xfId="166"/>
    <cellStyle name="Total 6 2 2" xfId="1221"/>
    <cellStyle name="Total 6 2 3" xfId="1222"/>
    <cellStyle name="Total 6 2 4" xfId="1223"/>
    <cellStyle name="Total 6 3" xfId="167"/>
    <cellStyle name="Total 6 3 2" xfId="1224"/>
    <cellStyle name="Total 6 3 3" xfId="1225"/>
    <cellStyle name="Total 6 3 4" xfId="1226"/>
    <cellStyle name="Total 6 4" xfId="168"/>
    <cellStyle name="Total 6 4 2" xfId="1227"/>
    <cellStyle name="Total 6 4 3" xfId="1228"/>
    <cellStyle name="Total 6 4 4" xfId="1229"/>
    <cellStyle name="Total 6 5" xfId="320"/>
    <cellStyle name="Total 6 5 2" xfId="1230"/>
    <cellStyle name="Total 6 6" xfId="321"/>
    <cellStyle name="Total 6 6 2" xfId="1231"/>
    <cellStyle name="Total 6 7" xfId="322"/>
    <cellStyle name="Total 6 7 2" xfId="1232"/>
    <cellStyle name="Total 6 8" xfId="323"/>
    <cellStyle name="Total 6 8 2" xfId="1233"/>
    <cellStyle name="Total 6 9" xfId="1234"/>
    <cellStyle name="Total 6 9 2" xfId="1235"/>
    <cellStyle name="Total 7" xfId="169"/>
    <cellStyle name="Total 7 10" xfId="1236"/>
    <cellStyle name="Total 7 11" xfId="1237"/>
    <cellStyle name="Total 7 12" xfId="1238"/>
    <cellStyle name="Total 7 2" xfId="170"/>
    <cellStyle name="Total 7 2 2" xfId="1239"/>
    <cellStyle name="Total 7 2 3" xfId="1240"/>
    <cellStyle name="Total 7 2 4" xfId="1241"/>
    <cellStyle name="Total 7 3" xfId="171"/>
    <cellStyle name="Total 7 3 2" xfId="1242"/>
    <cellStyle name="Total 7 3 3" xfId="1243"/>
    <cellStyle name="Total 7 3 4" xfId="1244"/>
    <cellStyle name="Total 7 4" xfId="172"/>
    <cellStyle name="Total 7 4 2" xfId="1245"/>
    <cellStyle name="Total 7 4 3" xfId="1246"/>
    <cellStyle name="Total 7 4 4" xfId="1247"/>
    <cellStyle name="Total 7 5" xfId="324"/>
    <cellStyle name="Total 7 5 2" xfId="1248"/>
    <cellStyle name="Total 7 6" xfId="325"/>
    <cellStyle name="Total 7 6 2" xfId="1249"/>
    <cellStyle name="Total 7 7" xfId="326"/>
    <cellStyle name="Total 7 7 2" xfId="1250"/>
    <cellStyle name="Total 7 8" xfId="327"/>
    <cellStyle name="Total 7 8 2" xfId="1251"/>
    <cellStyle name="Total 7 9" xfId="1252"/>
    <cellStyle name="Total 7 9 2" xfId="1253"/>
    <cellStyle name="Total 8" xfId="328"/>
    <cellStyle name="Total 8 10" xfId="1254"/>
    <cellStyle name="Total 8 11" xfId="1255"/>
    <cellStyle name="Total 8 12" xfId="1256"/>
    <cellStyle name="Total 8 2" xfId="329"/>
    <cellStyle name="Total 8 2 2" xfId="1257"/>
    <cellStyle name="Total 8 2 3" xfId="1258"/>
    <cellStyle name="Total 8 2 4" xfId="1259"/>
    <cellStyle name="Total 8 3" xfId="330"/>
    <cellStyle name="Total 8 3 2" xfId="1260"/>
    <cellStyle name="Total 8 3 3" xfId="1261"/>
    <cellStyle name="Total 8 3 4" xfId="1262"/>
    <cellStyle name="Total 8 4" xfId="331"/>
    <cellStyle name="Total 8 4 2" xfId="1263"/>
    <cellStyle name="Total 8 4 3" xfId="1264"/>
    <cellStyle name="Total 8 4 4" xfId="1265"/>
    <cellStyle name="Total 8 5" xfId="332"/>
    <cellStyle name="Total 8 5 2" xfId="1266"/>
    <cellStyle name="Total 8 6" xfId="333"/>
    <cellStyle name="Total 8 6 2" xfId="1267"/>
    <cellStyle name="Total 8 7" xfId="334"/>
    <cellStyle name="Total 8 7 2" xfId="1268"/>
    <cellStyle name="Total 8 8" xfId="335"/>
    <cellStyle name="Total 8 8 2" xfId="1269"/>
    <cellStyle name="Total 8 9" xfId="1270"/>
    <cellStyle name="Total 8 9 2" xfId="1271"/>
    <cellStyle name="Total 9" xfId="1272"/>
    <cellStyle name="Total 9 2" xfId="1273"/>
    <cellStyle name="Total 9 2 2" xfId="1274"/>
    <cellStyle name="Total 9 2 3" xfId="1275"/>
    <cellStyle name="Total 9 3" xfId="1276"/>
    <cellStyle name="Total 9 3 2" xfId="1277"/>
    <cellStyle name="Total 9 4" xfId="1278"/>
    <cellStyle name="Total 9 4 2" xfId="1279"/>
    <cellStyle name="Total 9 5" xfId="1280"/>
    <cellStyle name="Total 9 6" xfId="1281"/>
    <cellStyle name="Vérification 2" xfId="173"/>
  </cellStyles>
  <dxfs count="211"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 val="0"/>
        <i val="0"/>
        <color auto="1"/>
      </font>
      <fill>
        <patternFill>
          <bgColor rgb="FFD1EBFF"/>
        </patternFill>
      </fill>
    </dxf>
    <dxf>
      <font>
        <b val="0"/>
        <i val="0"/>
        <color auto="1"/>
      </font>
      <fill>
        <patternFill>
          <bgColor rgb="FFD1EBFF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 val="0"/>
        <i val="0"/>
        <color auto="1"/>
      </font>
      <fill>
        <patternFill>
          <bgColor rgb="FFD1EBFF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externalLink" Target="externalLinks/externalLink1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19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17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fr-FR" sz="1050"/>
              <a:t>Composition moyenne des OMR</a:t>
            </a:r>
          </a:p>
          <a:p>
            <a:pPr>
              <a:defRPr sz="1050"/>
            </a:pPr>
            <a:r>
              <a:rPr lang="fr-FR" sz="1050" i="1"/>
              <a:t>printemps 2015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'Synthèse PB'!$X$96</c:f>
              <c:strCache>
                <c:ptCount val="1"/>
                <c:pt idx="0">
                  <c:v>Syctom P15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'Synthèse PB'!$P$75:$P$87</c:f>
              </c:numRef>
            </c:plus>
            <c:minus>
              <c:numRef>
                <c:f>'Synthèse PB'!$O$75:$O$87</c:f>
              </c:numRef>
            </c:minus>
            <c:spPr>
              <a:ln w="15875">
                <a:solidFill>
                  <a:srgbClr val="FF0000"/>
                </a:solidFill>
              </a:ln>
            </c:spPr>
          </c:errBars>
          <c:cat>
            <c:strRef>
              <c:f>'[10]Synthèse PB'!$B$68:$B$80</c:f>
              <c:strCache>
                <c:ptCount val="13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'Synthèse PB'!$E$75:$E$87</c:f>
            </c:numRef>
          </c:val>
          <c:extLst>
            <c:ext xmlns:c16="http://schemas.microsoft.com/office/drawing/2014/chart" uri="{C3380CC4-5D6E-409C-BE32-E72D297353CC}">
              <c16:uniqueId val="{00000000-1FAE-4096-A696-9461F99F53E3}"/>
            </c:ext>
          </c:extLst>
        </c:ser>
        <c:ser>
          <c:idx val="2"/>
          <c:order val="1"/>
          <c:tx>
            <c:strRef>
              <c:f>'Synthèse PB'!$D$73:$D$74</c:f>
              <c:strCache>
                <c:ptCount val="2"/>
                <c:pt idx="0">
                  <c:v>SYCTOM 2014</c:v>
                </c:pt>
              </c:strCache>
            </c:strRef>
          </c:tx>
          <c:invertIfNegative val="0"/>
          <c:val>
            <c:numRef>
              <c:f>'Synthèse PB'!$D$75:$D$87</c:f>
            </c:numRef>
          </c:val>
          <c:extLst>
            <c:ext xmlns:c16="http://schemas.microsoft.com/office/drawing/2014/chart" uri="{C3380CC4-5D6E-409C-BE32-E72D297353CC}">
              <c16:uniqueId val="{00000001-1FAE-4096-A696-9461F99F53E3}"/>
            </c:ext>
          </c:extLst>
        </c:ser>
        <c:ser>
          <c:idx val="1"/>
          <c:order val="2"/>
          <c:tx>
            <c:strRef>
              <c:f>'Synthèse PB'!$C$73:$C$74</c:f>
              <c:strCache>
                <c:ptCount val="2"/>
                <c:pt idx="0">
                  <c:v>MODECOM 2007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'Synthèse PB'!$C$75:$C$87</c:f>
            </c:numRef>
          </c:val>
          <c:extLst>
            <c:ext xmlns:c16="http://schemas.microsoft.com/office/drawing/2014/chart" uri="{C3380CC4-5D6E-409C-BE32-E72D297353CC}">
              <c16:uniqueId val="{00000002-1FAE-4096-A696-9461F99F5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5638912"/>
        <c:axId val="125432192"/>
      </c:barChart>
      <c:catAx>
        <c:axId val="1256389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25432192"/>
        <c:crosses val="autoZero"/>
        <c:auto val="1"/>
        <c:lblAlgn val="ctr"/>
        <c:lblOffset val="100"/>
        <c:noMultiLvlLbl val="0"/>
      </c:catAx>
      <c:valAx>
        <c:axId val="125432192"/>
        <c:scaling>
          <c:orientation val="minMax"/>
          <c:max val="0.52"/>
          <c:min val="0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/>
            </a:pPr>
            <a:endParaRPr lang="fr-FR"/>
          </a:p>
        </c:txPr>
        <c:crossAx val="1256389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fr-FR" sz="1000"/>
              <a:t>Composition des OMR en fonction de la provenance Banlieue/Paris</a:t>
            </a:r>
          </a:p>
          <a:p>
            <a:pPr>
              <a:defRPr sz="1000"/>
            </a:pPr>
            <a:r>
              <a:rPr lang="fr-FR" sz="1000" i="1"/>
              <a:t>printemps 2015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'Synthèse PB'!$D$89</c:f>
              <c:strCache>
                <c:ptCount val="1"/>
                <c:pt idx="0">
                  <c:v>Banlieue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'Synthèse PB'!$O$91:$O$103</c:f>
              </c:numRef>
            </c:plus>
            <c:minus>
              <c:numRef>
                <c:f>'Synthèse PB'!$N$91:$N$103</c:f>
              </c:numRef>
            </c:minus>
            <c:spPr>
              <a:ln w="15875">
                <a:solidFill>
                  <a:srgbClr val="00B050"/>
                </a:solidFill>
              </a:ln>
            </c:spPr>
          </c:errBars>
          <c:cat>
            <c:strRef>
              <c:f>'[10]Synthèse PB'!$B$84:$B$96</c:f>
              <c:strCache>
                <c:ptCount val="13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'Synthèse PB'!$D$91:$D$103</c:f>
            </c:numRef>
          </c:val>
          <c:extLst>
            <c:ext xmlns:c16="http://schemas.microsoft.com/office/drawing/2014/chart" uri="{C3380CC4-5D6E-409C-BE32-E72D297353CC}">
              <c16:uniqueId val="{00000000-0CB4-4149-B35B-E9092D2D64D6}"/>
            </c:ext>
          </c:extLst>
        </c:ser>
        <c:ser>
          <c:idx val="1"/>
          <c:order val="1"/>
          <c:tx>
            <c:strRef>
              <c:f>'Synthèse PB'!$I$89</c:f>
              <c:strCache>
                <c:ptCount val="1"/>
                <c:pt idx="0">
                  <c:v>Paris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'Synthèse PB'!$Q$91:$Q$103</c:f>
              </c:numRef>
            </c:plus>
            <c:minus>
              <c:numRef>
                <c:f>'Synthèse PB'!$P$91:$P$103</c:f>
              </c:numRef>
            </c:minus>
            <c:spPr>
              <a:ln w="15875">
                <a:solidFill>
                  <a:srgbClr val="C00000"/>
                </a:solidFill>
              </a:ln>
            </c:spPr>
          </c:errBars>
          <c:cat>
            <c:strRef>
              <c:f>'[10]Synthèse PB'!$B$84:$B$96</c:f>
              <c:strCache>
                <c:ptCount val="13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'Synthèse PB'!$I$91:$I$103</c:f>
            </c:numRef>
          </c:val>
          <c:extLst>
            <c:ext xmlns:c16="http://schemas.microsoft.com/office/drawing/2014/chart" uri="{C3380CC4-5D6E-409C-BE32-E72D297353CC}">
              <c16:uniqueId val="{00000001-0CB4-4149-B35B-E9092D2D6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03696256"/>
        <c:axId val="103697792"/>
      </c:barChart>
      <c:catAx>
        <c:axId val="1036962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103697792"/>
        <c:crosses val="autoZero"/>
        <c:auto val="1"/>
        <c:lblAlgn val="ctr"/>
        <c:lblOffset val="100"/>
        <c:noMultiLvlLbl val="0"/>
      </c:catAx>
      <c:valAx>
        <c:axId val="103697792"/>
        <c:scaling>
          <c:orientation val="minMax"/>
          <c:max val="0.51"/>
          <c:min val="0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/>
            </a:pPr>
            <a:endParaRPr lang="fr-FR"/>
          </a:p>
        </c:txPr>
        <c:crossAx val="1036962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fr-FR" sz="1100"/>
              <a:t>Gisement potentiellement détournable vers le tri</a:t>
            </a:r>
            <a:r>
              <a:rPr lang="fr-FR" sz="1100" baseline="0"/>
              <a:t> dans les OMR du SYCTOM</a:t>
            </a:r>
          </a:p>
          <a:p>
            <a:pPr>
              <a:defRPr sz="1100"/>
            </a:pPr>
            <a:r>
              <a:rPr lang="fr-FR" sz="1100" i="1" baseline="0"/>
              <a:t>printemps 2015</a:t>
            </a:r>
            <a:endParaRPr lang="fr-FR" sz="1100" i="1"/>
          </a:p>
        </c:rich>
      </c:tx>
      <c:layout>
        <c:manualLayout>
          <c:xMode val="edge"/>
          <c:yMode val="edge"/>
          <c:x val="0.12265822784810126"/>
          <c:y val="1.84757505773672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622279809960482E-2"/>
          <c:y val="0.16270579813886901"/>
          <c:w val="0.82858666400877101"/>
          <c:h val="0.7653130414034216"/>
        </c:manualLayout>
      </c:layout>
      <c:ofPieChart>
        <c:ofPieType val="pie"/>
        <c:varyColors val="1"/>
        <c:ser>
          <c:idx val="0"/>
          <c:order val="0"/>
          <c:explosion val="8"/>
          <c:dPt>
            <c:idx val="6"/>
            <c:bubble3D val="0"/>
            <c:explosion val="0"/>
            <c:extLst>
              <c:ext xmlns:c16="http://schemas.microsoft.com/office/drawing/2014/chart" uri="{C3380CC4-5D6E-409C-BE32-E72D297353CC}">
                <c16:uniqueId val="{00000000-F746-4FD2-A85F-7246AE399D62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b="1"/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46-4FD2-A85F-7246AE399D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46-4FD2-A85F-7246AE399D62}"/>
                </c:ext>
              </c:extLst>
            </c:dLbl>
            <c:dLbl>
              <c:idx val="3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46-4FD2-A85F-7246AE399D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'[11]Synthèse A11 PB'!$B$164:$B$169</c:f>
              <c:strCache>
                <c:ptCount val="6"/>
                <c:pt idx="0">
                  <c:v>OMR</c:v>
                </c:pt>
                <c:pt idx="2">
                  <c:v>Collecte sélective</c:v>
                </c:pt>
                <c:pt idx="3">
                  <c:v>Verre</c:v>
                </c:pt>
                <c:pt idx="4">
                  <c:v>Textiles</c:v>
                </c:pt>
                <c:pt idx="5">
                  <c:v>Déchets ménagers spéciaux</c:v>
                </c:pt>
              </c:strCache>
            </c:strRef>
          </c:cat>
          <c:val>
            <c:numRef>
              <c:f>'Synthèse PB'!$C$158:$C$163</c:f>
            </c:numRef>
          </c:val>
          <c:extLst>
            <c:ext xmlns:c16="http://schemas.microsoft.com/office/drawing/2014/chart" uri="{C3380CC4-5D6E-409C-BE32-E72D297353CC}">
              <c16:uniqueId val="{00000004-F746-4FD2-A85F-7246AE399D62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gapWidth val="100"/>
        <c:splitType val="cust"/>
        <c:custSplit>
          <c:secondPiePt val="2"/>
          <c:secondPiePt val="3"/>
          <c:secondPiePt val="4"/>
          <c:secondPiePt val="5"/>
        </c:custSplit>
        <c:secondPieSize val="140"/>
        <c:serLines/>
      </c:ofPieChart>
    </c:plotArea>
    <c:plotVisOnly val="1"/>
    <c:dispBlanksAs val="zero"/>
    <c:showDLblsOverMax val="0"/>
  </c:chart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1243110510928"/>
          <c:y val="2.9966302202258193E-2"/>
          <c:w val="0.88382841331014095"/>
          <c:h val="0.74727225508314821"/>
        </c:manualLayout>
      </c:layout>
      <c:lineChart>
        <c:grouping val="standard"/>
        <c:varyColors val="0"/>
        <c:ser>
          <c:idx val="0"/>
          <c:order val="0"/>
          <c:tx>
            <c:strRef>
              <c:f>'PCI PB et PC'!$A$6</c:f>
              <c:strCache>
                <c:ptCount val="1"/>
                <c:pt idx="0">
                  <c:v>PCS/sec expérimental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'PCI PB et PC'!$C$4:$M$4</c:f>
              <c:strCache>
                <c:ptCount val="11"/>
                <c:pt idx="0">
                  <c:v>ISS P15 PB PAR</c:v>
                </c:pt>
                <c:pt idx="1">
                  <c:v>ISS P15 PAR BAN</c:v>
                </c:pt>
                <c:pt idx="2">
                  <c:v>STO P15 PB PAR</c:v>
                </c:pt>
                <c:pt idx="3">
                  <c:v>STO P15 PB BAN</c:v>
                </c:pt>
                <c:pt idx="4">
                  <c:v>ROM P15 PB PAR</c:v>
                </c:pt>
                <c:pt idx="5">
                  <c:v>ROM P15 PB BAN</c:v>
                </c:pt>
                <c:pt idx="6">
                  <c:v>IV13 P15 PB PAR</c:v>
                </c:pt>
                <c:pt idx="7">
                  <c:v>IV13 P15 PB BAN</c:v>
                </c:pt>
                <c:pt idx="8">
                  <c:v>Moyenne générale</c:v>
                </c:pt>
                <c:pt idx="9">
                  <c:v>Moyenne Paris</c:v>
                </c:pt>
                <c:pt idx="10">
                  <c:v>Moyenne Banlieue</c:v>
                </c:pt>
              </c:strCache>
            </c:strRef>
          </c:cat>
          <c:val>
            <c:numRef>
              <c:f>'PCI PB et PC'!$C$6:$M$6</c:f>
              <c:numCache>
                <c:formatCode>#\ ##0_ ;\-#\ ##0\ </c:formatCode>
                <c:ptCount val="11"/>
                <c:pt idx="0">
                  <c:v>5117.7763371150731</c:v>
                </c:pt>
                <c:pt idx="1">
                  <c:v>4703.4836358439325</c:v>
                </c:pt>
                <c:pt idx="2">
                  <c:v>4074.6063025210074</c:v>
                </c:pt>
                <c:pt idx="3">
                  <c:v>4594.6900535019467</c:v>
                </c:pt>
                <c:pt idx="4">
                  <c:v>4485.7401715968745</c:v>
                </c:pt>
                <c:pt idx="5">
                  <c:v>4212.7823417030568</c:v>
                </c:pt>
                <c:pt idx="6">
                  <c:v>4547.7075783626497</c:v>
                </c:pt>
                <c:pt idx="7">
                  <c:v>4689.3311774023232</c:v>
                </c:pt>
                <c:pt idx="8">
                  <c:v>4553.2646997558577</c:v>
                </c:pt>
                <c:pt idx="9">
                  <c:v>4556.4575973989013</c:v>
                </c:pt>
                <c:pt idx="10">
                  <c:v>4550.071802112815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F-4A95-8048-48EF722FC73C}"/>
            </c:ext>
          </c:extLst>
        </c:ser>
        <c:ser>
          <c:idx val="1"/>
          <c:order val="1"/>
          <c:tx>
            <c:strRef>
              <c:f>'PCI PB et PC'!$A$16</c:f>
              <c:strCache>
                <c:ptCount val="1"/>
                <c:pt idx="0">
                  <c:v>Référence MODECOM PCS/sec</c:v>
                </c:pt>
              </c:strCache>
            </c:strRef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strRef>
              <c:f>'PCI PB et PC'!$C$4:$M$4</c:f>
              <c:strCache>
                <c:ptCount val="11"/>
                <c:pt idx="0">
                  <c:v>ISS P15 PB PAR</c:v>
                </c:pt>
                <c:pt idx="1">
                  <c:v>ISS P15 PAR BAN</c:v>
                </c:pt>
                <c:pt idx="2">
                  <c:v>STO P15 PB PAR</c:v>
                </c:pt>
                <c:pt idx="3">
                  <c:v>STO P15 PB BAN</c:v>
                </c:pt>
                <c:pt idx="4">
                  <c:v>ROM P15 PB PAR</c:v>
                </c:pt>
                <c:pt idx="5">
                  <c:v>ROM P15 PB BAN</c:v>
                </c:pt>
                <c:pt idx="6">
                  <c:v>IV13 P15 PB PAR</c:v>
                </c:pt>
                <c:pt idx="7">
                  <c:v>IV13 P15 PB BAN</c:v>
                </c:pt>
                <c:pt idx="8">
                  <c:v>Moyenne générale</c:v>
                </c:pt>
                <c:pt idx="9">
                  <c:v>Moyenne Paris</c:v>
                </c:pt>
                <c:pt idx="10">
                  <c:v>Moyenne Banlieue</c:v>
                </c:pt>
              </c:strCache>
            </c:strRef>
          </c:cat>
          <c:val>
            <c:numRef>
              <c:f>'PCI PB et PC'!$C$16:$M$16</c:f>
              <c:numCache>
                <c:formatCode>General</c:formatCode>
                <c:ptCount val="11"/>
                <c:pt idx="0">
                  <c:v>4108</c:v>
                </c:pt>
                <c:pt idx="1">
                  <c:v>4108</c:v>
                </c:pt>
                <c:pt idx="2">
                  <c:v>4108</c:v>
                </c:pt>
                <c:pt idx="3">
                  <c:v>4108</c:v>
                </c:pt>
                <c:pt idx="4">
                  <c:v>4108</c:v>
                </c:pt>
                <c:pt idx="5">
                  <c:v>4108</c:v>
                </c:pt>
                <c:pt idx="6">
                  <c:v>4108</c:v>
                </c:pt>
                <c:pt idx="7">
                  <c:v>4108</c:v>
                </c:pt>
                <c:pt idx="8">
                  <c:v>4108</c:v>
                </c:pt>
                <c:pt idx="9">
                  <c:v>4108</c:v>
                </c:pt>
                <c:pt idx="10">
                  <c:v>4108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F-4A95-8048-48EF722FC73C}"/>
            </c:ext>
          </c:extLst>
        </c:ser>
        <c:ser>
          <c:idx val="2"/>
          <c:order val="2"/>
          <c:tx>
            <c:strRef>
              <c:f>'PCI PB et PC'!$A$10</c:f>
              <c:strCache>
                <c:ptCount val="1"/>
                <c:pt idx="0">
                  <c:v>PCI/brut expérimental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'PCI PB et PC'!$C$10:$M$10</c:f>
              <c:numCache>
                <c:formatCode>#\ ##0_ ;\-#\ ##0\ </c:formatCode>
                <c:ptCount val="11"/>
                <c:pt idx="0">
                  <c:v>2224.2990148813906</c:v>
                </c:pt>
                <c:pt idx="1">
                  <c:v>2156.1887191653564</c:v>
                </c:pt>
                <c:pt idx="2">
                  <c:v>2469.4672756302521</c:v>
                </c:pt>
                <c:pt idx="3">
                  <c:v>2658.4767194795713</c:v>
                </c:pt>
                <c:pt idx="4">
                  <c:v>2420.4860577538739</c:v>
                </c:pt>
                <c:pt idx="5">
                  <c:v>2066.8411675764182</c:v>
                </c:pt>
                <c:pt idx="6">
                  <c:v>2332.3391990477444</c:v>
                </c:pt>
                <c:pt idx="7">
                  <c:v>2412.5202212249205</c:v>
                </c:pt>
                <c:pt idx="8">
                  <c:v>2342.577296844941</c:v>
                </c:pt>
                <c:pt idx="9">
                  <c:v>2361.6478868283152</c:v>
                </c:pt>
                <c:pt idx="10">
                  <c:v>2323.5067068615667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2F-4A95-8048-48EF722FC73C}"/>
            </c:ext>
          </c:extLst>
        </c:ser>
        <c:ser>
          <c:idx val="4"/>
          <c:order val="3"/>
          <c:tx>
            <c:strRef>
              <c:f>'PCI PB et PC'!$A$12</c:f>
              <c:strCache>
                <c:ptCount val="1"/>
                <c:pt idx="0">
                  <c:v>PCI/brut calculatoire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'PCI PB et PC'!$C$12:$M$12</c:f>
              <c:numCache>
                <c:formatCode>#\ ##0_ ;\-#\ ##0\ </c:formatCode>
                <c:ptCount val="11"/>
                <c:pt idx="0">
                  <c:v>2160.880610137026</c:v>
                </c:pt>
                <c:pt idx="1">
                  <c:v>2174.5041046162637</c:v>
                </c:pt>
                <c:pt idx="2">
                  <c:v>2353.099043697478</c:v>
                </c:pt>
                <c:pt idx="3">
                  <c:v>2650.9346966196499</c:v>
                </c:pt>
                <c:pt idx="4">
                  <c:v>2273.2949961582794</c:v>
                </c:pt>
                <c:pt idx="5">
                  <c:v>2045.5189844432311</c:v>
                </c:pt>
                <c:pt idx="6">
                  <c:v>2320.6649180002646</c:v>
                </c:pt>
                <c:pt idx="7">
                  <c:v>2412.8960194033798</c:v>
                </c:pt>
                <c:pt idx="8">
                  <c:v>2298.9741716344465</c:v>
                </c:pt>
                <c:pt idx="9">
                  <c:v>2276.9848919982619</c:v>
                </c:pt>
                <c:pt idx="10">
                  <c:v>2320.9634512706316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2F-4A95-8048-48EF722FC73C}"/>
            </c:ext>
          </c:extLst>
        </c:ser>
        <c:ser>
          <c:idx val="3"/>
          <c:order val="4"/>
          <c:tx>
            <c:strRef>
              <c:f>'PCI PB et PC'!$A$17</c:f>
              <c:strCache>
                <c:ptCount val="1"/>
                <c:pt idx="0">
                  <c:v>Référence MODECOM PCI/brut</c:v>
                </c:pt>
              </c:strCache>
            </c:strRef>
          </c:tx>
          <c:spPr>
            <a:ln>
              <a:solidFill>
                <a:srgbClr val="00B0F0"/>
              </a:solidFill>
              <a:prstDash val="dash"/>
            </a:ln>
          </c:spPr>
          <c:marker>
            <c:symbol val="none"/>
          </c:marker>
          <c:val>
            <c:numRef>
              <c:f>'PCI PB et PC'!$C$17:$M$17</c:f>
              <c:numCache>
                <c:formatCode>General</c:formatCode>
                <c:ptCount val="11"/>
                <c:pt idx="0">
                  <c:v>2221</c:v>
                </c:pt>
                <c:pt idx="1">
                  <c:v>2221</c:v>
                </c:pt>
                <c:pt idx="2">
                  <c:v>2221</c:v>
                </c:pt>
                <c:pt idx="3">
                  <c:v>2221</c:v>
                </c:pt>
                <c:pt idx="4">
                  <c:v>2221</c:v>
                </c:pt>
                <c:pt idx="5">
                  <c:v>2221</c:v>
                </c:pt>
                <c:pt idx="6">
                  <c:v>2221</c:v>
                </c:pt>
                <c:pt idx="7">
                  <c:v>2221</c:v>
                </c:pt>
                <c:pt idx="8">
                  <c:v>2221</c:v>
                </c:pt>
                <c:pt idx="9">
                  <c:v>2221</c:v>
                </c:pt>
                <c:pt idx="10">
                  <c:v>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2F-4A95-8048-48EF722FC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560704"/>
        <c:axId val="165562240"/>
      </c:lineChart>
      <c:catAx>
        <c:axId val="1655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300000"/>
          <a:lstStyle/>
          <a:p>
            <a:pPr>
              <a:defRPr sz="1000" b="1"/>
            </a:pPr>
            <a:endParaRPr lang="fr-FR"/>
          </a:p>
        </c:txPr>
        <c:crossAx val="165562240"/>
        <c:crosses val="autoZero"/>
        <c:auto val="1"/>
        <c:lblAlgn val="ctr"/>
        <c:lblOffset val="100"/>
        <c:noMultiLvlLbl val="0"/>
      </c:catAx>
      <c:valAx>
        <c:axId val="165562240"/>
        <c:scaling>
          <c:orientation val="minMax"/>
          <c:min val="18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 cal/g</a:t>
                </a:r>
              </a:p>
            </c:rich>
          </c:tx>
          <c:layout>
            <c:manualLayout>
              <c:xMode val="edge"/>
              <c:yMode val="edge"/>
              <c:x val="1.6104371589321143E-2"/>
              <c:y val="0.35060650085264639"/>
            </c:manualLayout>
          </c:layout>
          <c:overlay val="0"/>
        </c:title>
        <c:numFmt formatCode="#\ ##0_ ;\-#\ ##0\ 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65560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15748678956661"/>
          <c:y val="0.31285013321001304"/>
          <c:w val="0.24510276556895319"/>
          <c:h val="0.24403381511096309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084733784972"/>
          <c:y val="3.8063464752477599E-2"/>
          <c:w val="0.87338766467465323"/>
          <c:h val="0.57668920960906944"/>
        </c:manualLayout>
      </c:layout>
      <c:lineChart>
        <c:grouping val="standard"/>
        <c:varyColors val="0"/>
        <c:ser>
          <c:idx val="3"/>
          <c:order val="0"/>
          <c:tx>
            <c:strRef>
              <c:f>'PCI PB et PC'!$A$17</c:f>
              <c:strCache>
                <c:ptCount val="1"/>
                <c:pt idx="0">
                  <c:v>Référence MODECOM PCI/brut</c:v>
                </c:pt>
              </c:strCache>
            </c:strRef>
          </c:tx>
          <c:spPr>
            <a:ln>
              <a:solidFill>
                <a:srgbClr val="00B0F0"/>
              </a:solidFill>
              <a:prstDash val="dash"/>
            </a:ln>
          </c:spPr>
          <c:marker>
            <c:symbol val="none"/>
          </c:marker>
          <c:cat>
            <c:strRef>
              <c:f>'PCI PB et PC'!$T$4:$AE$4</c:f>
              <c:strCache>
                <c:ptCount val="12"/>
                <c:pt idx="0">
                  <c:v>ISS_P15 PAR</c:v>
                </c:pt>
                <c:pt idx="1">
                  <c:v>ISS_P15 BAN</c:v>
                </c:pt>
                <c:pt idx="2">
                  <c:v>STO_P15 PAR</c:v>
                </c:pt>
                <c:pt idx="3">
                  <c:v>STO_P15 BAN</c:v>
                </c:pt>
                <c:pt idx="4">
                  <c:v>ROM_P15 PAR</c:v>
                </c:pt>
                <c:pt idx="5">
                  <c:v>ROM_P15 BAN</c:v>
                </c:pt>
                <c:pt idx="6">
                  <c:v>IV13_P15 PAR</c:v>
                </c:pt>
                <c:pt idx="7">
                  <c:v>IV13_P15 BAN</c:v>
                </c:pt>
                <c:pt idx="8">
                  <c:v>Moyenne générale</c:v>
                </c:pt>
                <c:pt idx="9">
                  <c:v>Moyenne Paris</c:v>
                </c:pt>
                <c:pt idx="10">
                  <c:v>Moyenne Banlieue</c:v>
                </c:pt>
                <c:pt idx="11">
                  <c:v>Référence ADEME</c:v>
                </c:pt>
              </c:strCache>
            </c:strRef>
          </c:cat>
          <c:val>
            <c:numRef>
              <c:f>'PCI PB et PC'!$C$17:$M$17</c:f>
              <c:numCache>
                <c:formatCode>General</c:formatCode>
                <c:ptCount val="11"/>
                <c:pt idx="0">
                  <c:v>2221</c:v>
                </c:pt>
                <c:pt idx="1">
                  <c:v>2221</c:v>
                </c:pt>
                <c:pt idx="2">
                  <c:v>2221</c:v>
                </c:pt>
                <c:pt idx="3">
                  <c:v>2221</c:v>
                </c:pt>
                <c:pt idx="4">
                  <c:v>2221</c:v>
                </c:pt>
                <c:pt idx="5">
                  <c:v>2221</c:v>
                </c:pt>
                <c:pt idx="6">
                  <c:v>2221</c:v>
                </c:pt>
                <c:pt idx="7">
                  <c:v>2221</c:v>
                </c:pt>
                <c:pt idx="8">
                  <c:v>2221</c:v>
                </c:pt>
                <c:pt idx="9">
                  <c:v>2221</c:v>
                </c:pt>
                <c:pt idx="10">
                  <c:v>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9-4D43-95F7-9BECC90A59AF}"/>
            </c:ext>
          </c:extLst>
        </c:ser>
        <c:ser>
          <c:idx val="0"/>
          <c:order val="1"/>
          <c:tx>
            <c:v>Valeur cal/brut sur déchets après tri sommaire des fines et combustibles - Presta. C</c:v>
          </c:tx>
          <c:spPr>
            <a:ln w="22225"/>
          </c:spPr>
          <c:marker>
            <c:symbol val="none"/>
          </c:marker>
          <c:cat>
            <c:strRef>
              <c:f>'PCI PB et PC'!$T$4:$AE$4</c:f>
              <c:strCache>
                <c:ptCount val="12"/>
                <c:pt idx="0">
                  <c:v>ISS_P15 PAR</c:v>
                </c:pt>
                <c:pt idx="1">
                  <c:v>ISS_P15 BAN</c:v>
                </c:pt>
                <c:pt idx="2">
                  <c:v>STO_P15 PAR</c:v>
                </c:pt>
                <c:pt idx="3">
                  <c:v>STO_P15 BAN</c:v>
                </c:pt>
                <c:pt idx="4">
                  <c:v>ROM_P15 PAR</c:v>
                </c:pt>
                <c:pt idx="5">
                  <c:v>ROM_P15 BAN</c:v>
                </c:pt>
                <c:pt idx="6">
                  <c:v>IV13_P15 PAR</c:v>
                </c:pt>
                <c:pt idx="7">
                  <c:v>IV13_P15 BAN</c:v>
                </c:pt>
                <c:pt idx="8">
                  <c:v>Moyenne générale</c:v>
                </c:pt>
                <c:pt idx="9">
                  <c:v>Moyenne Paris</c:v>
                </c:pt>
                <c:pt idx="10">
                  <c:v>Moyenne Banlieue</c:v>
                </c:pt>
                <c:pt idx="11">
                  <c:v>Référence ADEME</c:v>
                </c:pt>
              </c:strCache>
            </c:strRef>
          </c:cat>
          <c:val>
            <c:numRef>
              <c:f>'PCI PB et PC'!$T$10:$AD$10</c:f>
              <c:numCache>
                <c:formatCode>#,##0</c:formatCode>
                <c:ptCount val="11"/>
                <c:pt idx="0">
                  <c:v>2278.6641284536418</c:v>
                </c:pt>
                <c:pt idx="1">
                  <c:v>2138.1048752965403</c:v>
                </c:pt>
                <c:pt idx="2">
                  <c:v>2292.8791456455392</c:v>
                </c:pt>
                <c:pt idx="3">
                  <c:v>2517.7106039235987</c:v>
                </c:pt>
                <c:pt idx="4">
                  <c:v>1870.5762580537025</c:v>
                </c:pt>
                <c:pt idx="5">
                  <c:v>1834.64820591342</c:v>
                </c:pt>
                <c:pt idx="6">
                  <c:v>1721.8334288222561</c:v>
                </c:pt>
                <c:pt idx="7">
                  <c:v>2181.512848049379</c:v>
                </c:pt>
                <c:pt idx="8">
                  <c:v>2104.4911867697597</c:v>
                </c:pt>
                <c:pt idx="9">
                  <c:v>2040.9882402437847</c:v>
                </c:pt>
                <c:pt idx="10">
                  <c:v>2167.9941332957342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9-4D43-95F7-9BECC90A59AF}"/>
            </c:ext>
          </c:extLst>
        </c:ser>
        <c:ser>
          <c:idx val="1"/>
          <c:order val="2"/>
          <c:tx>
            <c:v>Valeur exp/brut sur déchets après tri par catégories - Presta. B</c:v>
          </c:tx>
          <c:spPr>
            <a:ln w="22225"/>
          </c:spPr>
          <c:marker>
            <c:symbol val="none"/>
          </c:marker>
          <c:cat>
            <c:strRef>
              <c:f>'PCI PB et PC'!$T$4:$AE$4</c:f>
              <c:strCache>
                <c:ptCount val="12"/>
                <c:pt idx="0">
                  <c:v>ISS_P15 PAR</c:v>
                </c:pt>
                <c:pt idx="1">
                  <c:v>ISS_P15 BAN</c:v>
                </c:pt>
                <c:pt idx="2">
                  <c:v>STO_P15 PAR</c:v>
                </c:pt>
                <c:pt idx="3">
                  <c:v>STO_P15 BAN</c:v>
                </c:pt>
                <c:pt idx="4">
                  <c:v>ROM_P15 PAR</c:v>
                </c:pt>
                <c:pt idx="5">
                  <c:v>ROM_P15 BAN</c:v>
                </c:pt>
                <c:pt idx="6">
                  <c:v>IV13_P15 PAR</c:v>
                </c:pt>
                <c:pt idx="7">
                  <c:v>IV13_P15 BAN</c:v>
                </c:pt>
                <c:pt idx="8">
                  <c:v>Moyenne générale</c:v>
                </c:pt>
                <c:pt idx="9">
                  <c:v>Moyenne Paris</c:v>
                </c:pt>
                <c:pt idx="10">
                  <c:v>Moyenne Banlieue</c:v>
                </c:pt>
                <c:pt idx="11">
                  <c:v>Référence ADEME</c:v>
                </c:pt>
              </c:strCache>
            </c:strRef>
          </c:cat>
          <c:val>
            <c:numRef>
              <c:f>'PCI PB et PC'!$T$13:$AD$13</c:f>
              <c:numCache>
                <c:formatCode>#,##0</c:formatCode>
                <c:ptCount val="11"/>
                <c:pt idx="0">
                  <c:v>2224.2990148813906</c:v>
                </c:pt>
                <c:pt idx="1">
                  <c:v>2156.1887191653564</c:v>
                </c:pt>
                <c:pt idx="2">
                  <c:v>2469.4672756302521</c:v>
                </c:pt>
                <c:pt idx="3">
                  <c:v>2658.4767194795713</c:v>
                </c:pt>
                <c:pt idx="4">
                  <c:v>2420.4860577538739</c:v>
                </c:pt>
                <c:pt idx="5">
                  <c:v>2066.8411675764182</c:v>
                </c:pt>
                <c:pt idx="6">
                  <c:v>2332.3391990477444</c:v>
                </c:pt>
                <c:pt idx="7">
                  <c:v>2412.5202212249205</c:v>
                </c:pt>
                <c:pt idx="8">
                  <c:v>2342.577296844941</c:v>
                </c:pt>
                <c:pt idx="9">
                  <c:v>2361.6478868283152</c:v>
                </c:pt>
                <c:pt idx="10">
                  <c:v>2323.5067068615667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79-4D43-95F7-9BECC90A59AF}"/>
            </c:ext>
          </c:extLst>
        </c:ser>
        <c:ser>
          <c:idx val="2"/>
          <c:order val="3"/>
          <c:tx>
            <c:v>Valeur cal/brut sur déchets après tri en catégories - Presta. B</c:v>
          </c:tx>
          <c:spPr>
            <a:ln w="22225"/>
          </c:spPr>
          <c:marker>
            <c:symbol val="none"/>
          </c:marker>
          <c:cat>
            <c:strRef>
              <c:f>'PCI PB et PC'!$T$4:$AE$4</c:f>
              <c:strCache>
                <c:ptCount val="12"/>
                <c:pt idx="0">
                  <c:v>ISS_P15 PAR</c:v>
                </c:pt>
                <c:pt idx="1">
                  <c:v>ISS_P15 BAN</c:v>
                </c:pt>
                <c:pt idx="2">
                  <c:v>STO_P15 PAR</c:v>
                </c:pt>
                <c:pt idx="3">
                  <c:v>STO_P15 BAN</c:v>
                </c:pt>
                <c:pt idx="4">
                  <c:v>ROM_P15 PAR</c:v>
                </c:pt>
                <c:pt idx="5">
                  <c:v>ROM_P15 BAN</c:v>
                </c:pt>
                <c:pt idx="6">
                  <c:v>IV13_P15 PAR</c:v>
                </c:pt>
                <c:pt idx="7">
                  <c:v>IV13_P15 BAN</c:v>
                </c:pt>
                <c:pt idx="8">
                  <c:v>Moyenne générale</c:v>
                </c:pt>
                <c:pt idx="9">
                  <c:v>Moyenne Paris</c:v>
                </c:pt>
                <c:pt idx="10">
                  <c:v>Moyenne Banlieue</c:v>
                </c:pt>
                <c:pt idx="11">
                  <c:v>Référence ADEME</c:v>
                </c:pt>
              </c:strCache>
            </c:strRef>
          </c:cat>
          <c:val>
            <c:numRef>
              <c:f>'PCI PB et PC'!$T$14:$AD$14</c:f>
              <c:numCache>
                <c:formatCode>#,##0</c:formatCode>
                <c:ptCount val="11"/>
                <c:pt idx="0">
                  <c:v>2160.880610137026</c:v>
                </c:pt>
                <c:pt idx="1">
                  <c:v>2174.5041046162637</c:v>
                </c:pt>
                <c:pt idx="2">
                  <c:v>2353.099043697478</c:v>
                </c:pt>
                <c:pt idx="3">
                  <c:v>2650.9346966196499</c:v>
                </c:pt>
                <c:pt idx="4">
                  <c:v>2273.2949961582794</c:v>
                </c:pt>
                <c:pt idx="5">
                  <c:v>2045.5189844432311</c:v>
                </c:pt>
                <c:pt idx="6">
                  <c:v>2320.6649180002646</c:v>
                </c:pt>
                <c:pt idx="7">
                  <c:v>2412.8960194033798</c:v>
                </c:pt>
                <c:pt idx="8">
                  <c:v>2298.9741716344465</c:v>
                </c:pt>
                <c:pt idx="9">
                  <c:v>2276.9848919982619</c:v>
                </c:pt>
                <c:pt idx="10">
                  <c:v>2320.9634512706316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79-4D43-95F7-9BECC90A5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602048"/>
        <c:axId val="165603584"/>
      </c:lineChart>
      <c:catAx>
        <c:axId val="16560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300000"/>
          <a:lstStyle/>
          <a:p>
            <a:pPr>
              <a:defRPr sz="1000" b="1"/>
            </a:pPr>
            <a:endParaRPr lang="fr-FR"/>
          </a:p>
        </c:txPr>
        <c:crossAx val="165603584"/>
        <c:crosses val="autoZero"/>
        <c:auto val="1"/>
        <c:lblAlgn val="ctr"/>
        <c:lblOffset val="100"/>
        <c:noMultiLvlLbl val="0"/>
      </c:catAx>
      <c:valAx>
        <c:axId val="165603584"/>
        <c:scaling>
          <c:orientation val="minMax"/>
          <c:max val="2700"/>
          <c:min val="17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 cal/g</a:t>
                </a:r>
              </a:p>
            </c:rich>
          </c:tx>
          <c:layout>
            <c:manualLayout>
              <c:xMode val="edge"/>
              <c:yMode val="edge"/>
              <c:x val="1.6104371589321143E-2"/>
              <c:y val="0.3506065008526463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65602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9180299984682239E-3"/>
          <c:y val="0.79942245258262634"/>
          <c:w val="0.99259102057766657"/>
          <c:h val="0.17742868786274574"/>
        </c:manualLayout>
      </c:layout>
      <c:overlay val="1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17</xdr:row>
      <xdr:rowOff>104773</xdr:rowOff>
    </xdr:from>
    <xdr:to>
      <xdr:col>9</xdr:col>
      <xdr:colOff>511969</xdr:colOff>
      <xdr:row>33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1012030</xdr:colOff>
      <xdr:row>19</xdr:row>
      <xdr:rowOff>214314</xdr:rowOff>
    </xdr:from>
    <xdr:to>
      <xdr:col>26</xdr:col>
      <xdr:colOff>369091</xdr:colOff>
      <xdr:row>35</xdr:row>
      <xdr:rowOff>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228599</xdr:colOff>
      <xdr:row>71</xdr:row>
      <xdr:rowOff>19050</xdr:rowOff>
    </xdr:from>
    <xdr:to>
      <xdr:col>30</xdr:col>
      <xdr:colOff>619124</xdr:colOff>
      <xdr:row>91</xdr:row>
      <xdr:rowOff>57150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295274</xdr:colOff>
      <xdr:row>103</xdr:row>
      <xdr:rowOff>85724</xdr:rowOff>
    </xdr:from>
    <xdr:to>
      <xdr:col>23</xdr:col>
      <xdr:colOff>190499</xdr:colOff>
      <xdr:row>124</xdr:row>
      <xdr:rowOff>209550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495298</xdr:colOff>
      <xdr:row>147</xdr:row>
      <xdr:rowOff>38100</xdr:rowOff>
    </xdr:from>
    <xdr:to>
      <xdr:col>18</xdr:col>
      <xdr:colOff>266699</xdr:colOff>
      <xdr:row>163</xdr:row>
      <xdr:rowOff>161925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5" name="Text Box 13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6" name="Text Box 14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8" name="Text Box 17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9" name="Text Box 18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1" name="Text Box 13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2" name="Text Box 14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5" name="Text Box 13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6" name="Text Box 14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8" name="Text Box 17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9" name="Text Box 18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51" name="Text Box 13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6" name="Text Box 17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7" name="Text Box 18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9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0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3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4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6" name="Text Box 17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7" name="Text Box 18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1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2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4" name="Text Box 17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5" name="Text Box 18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7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8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1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2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4" name="Text Box 17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5" name="Text Box 18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7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89" name="Text Box 13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0" name="Text Box 14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2" name="Text Box 17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3" name="Text Box 18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5" name="Text Box 13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6" name="Text Box 14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9" name="Text Box 13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0" name="Text Box 14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2" name="Text Box 17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3" name="Text Box 18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5" name="Text Box 13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0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0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0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SS_P15_PB_B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ublic\CLIENTS\SYCTOM\campagne%20hiver%202012\feuille%20de%20%20tri\synth&#232;se%20H12%20PB%20-%20PC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ublic\CLIENTS\SYCTOM\Campagne%20A11\Feuilles%20de%20tri\Synth&#232;se%20r&#233;sultats%20prestation%20B%20et%20C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SS_P15_PC_BA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SS_P15_PC_PA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VR_P15_PC_BA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VR_P15_PC_PA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ROM_P15_PC_B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ROM_P15_PC_PA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STO_P15_PC_BA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STO_P15_PC_P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SS_P15_PB_P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VR_P15_PB_BA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VR_P15_PB_PA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ROM_P15_PB_BA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ROM_P15_PB_PA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STO_P15_PB_BA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STO_P15_PB_PA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SS_A14_PB_B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ISS-P15-PB-BAN</v>
          </cell>
        </row>
        <row r="6">
          <cell r="D6" t="str">
            <v>BA-126-ZV - CHATILLON</v>
          </cell>
        </row>
        <row r="8">
          <cell r="D8" t="str">
            <v>ISSEANE</v>
          </cell>
        </row>
        <row r="12">
          <cell r="B12">
            <v>42158</v>
          </cell>
          <cell r="E12" t="str">
            <v>8H25</v>
          </cell>
        </row>
        <row r="15">
          <cell r="E15" t="str">
            <v>sec, nuageux</v>
          </cell>
        </row>
        <row r="19">
          <cell r="G19">
            <v>126.63999999999999</v>
          </cell>
        </row>
        <row r="26">
          <cell r="H26">
            <v>0.42</v>
          </cell>
        </row>
        <row r="51">
          <cell r="D51">
            <v>0.45402716361339229</v>
          </cell>
        </row>
      </sheetData>
      <sheetData sheetId="1" refreshError="1"/>
      <sheetData sheetId="2">
        <row r="27">
          <cell r="C27">
            <v>1.6400000000000006</v>
          </cell>
          <cell r="D27">
            <v>2.38</v>
          </cell>
        </row>
      </sheetData>
      <sheetData sheetId="3">
        <row r="5">
          <cell r="E5">
            <v>0</v>
          </cell>
          <cell r="H5">
            <v>5.0000000000000044E-2</v>
          </cell>
          <cell r="K5">
            <v>2.3877857142857142</v>
          </cell>
        </row>
        <row r="6">
          <cell r="E6">
            <v>0</v>
          </cell>
          <cell r="H6">
            <v>0</v>
          </cell>
          <cell r="K6">
            <v>2.0983571428571426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0</v>
          </cell>
          <cell r="K8">
            <v>0</v>
          </cell>
        </row>
        <row r="9">
          <cell r="E9">
            <v>0</v>
          </cell>
          <cell r="H9">
            <v>0</v>
          </cell>
          <cell r="K9">
            <v>7.2357142857142911E-2</v>
          </cell>
        </row>
        <row r="10">
          <cell r="E10">
            <v>0</v>
          </cell>
          <cell r="H10">
            <v>0.25</v>
          </cell>
          <cell r="K10">
            <v>0.36178571428571454</v>
          </cell>
        </row>
        <row r="11">
          <cell r="E11">
            <v>0</v>
          </cell>
          <cell r="H11">
            <v>2.0500000000000003</v>
          </cell>
          <cell r="K11">
            <v>0.36178571428571454</v>
          </cell>
        </row>
        <row r="12">
          <cell r="E12">
            <v>0</v>
          </cell>
          <cell r="H12">
            <v>1.33</v>
          </cell>
          <cell r="K12">
            <v>1.2300714285714294</v>
          </cell>
        </row>
        <row r="13">
          <cell r="E13">
            <v>0</v>
          </cell>
          <cell r="H13">
            <v>0.27</v>
          </cell>
          <cell r="K13">
            <v>1.3747857142857152</v>
          </cell>
        </row>
        <row r="14">
          <cell r="E14">
            <v>0</v>
          </cell>
          <cell r="H14">
            <v>0.4700000000000002</v>
          </cell>
          <cell r="K14">
            <v>2.2430714285714286</v>
          </cell>
        </row>
        <row r="15">
          <cell r="E15">
            <v>0</v>
          </cell>
          <cell r="H15">
            <v>1.0100000000000002</v>
          </cell>
          <cell r="K15">
            <v>1.953642857142857</v>
          </cell>
        </row>
        <row r="16">
          <cell r="E16">
            <v>0</v>
          </cell>
          <cell r="H16">
            <v>0.79</v>
          </cell>
          <cell r="K16">
            <v>0</v>
          </cell>
        </row>
        <row r="17">
          <cell r="E17">
            <v>0</v>
          </cell>
          <cell r="H17">
            <v>0.64999999999999991</v>
          </cell>
          <cell r="K17">
            <v>0</v>
          </cell>
        </row>
        <row r="18">
          <cell r="E18">
            <v>0</v>
          </cell>
          <cell r="H18">
            <v>0.31000000000000005</v>
          </cell>
          <cell r="K18">
            <v>0.36178571428571454</v>
          </cell>
        </row>
        <row r="19">
          <cell r="E19">
            <v>0</v>
          </cell>
          <cell r="H19">
            <v>0.25</v>
          </cell>
          <cell r="K19">
            <v>0.65121428571428619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0</v>
          </cell>
          <cell r="H22">
            <v>0.51000000000000023</v>
          </cell>
          <cell r="K22">
            <v>0.21707142857142872</v>
          </cell>
        </row>
        <row r="23">
          <cell r="E23">
            <v>0</v>
          </cell>
          <cell r="H23">
            <v>2.5100000000000002</v>
          </cell>
          <cell r="K23">
            <v>8.1763571428571407</v>
          </cell>
        </row>
        <row r="24">
          <cell r="E24">
            <v>0</v>
          </cell>
          <cell r="H24">
            <v>0.99000000000000021</v>
          </cell>
          <cell r="K24">
            <v>5.7162142857142841</v>
          </cell>
        </row>
        <row r="25">
          <cell r="E25">
            <v>0</v>
          </cell>
          <cell r="H25">
            <v>6.3900000000000006</v>
          </cell>
          <cell r="K25">
            <v>1.2300714285714294</v>
          </cell>
        </row>
        <row r="26">
          <cell r="E26">
            <v>0</v>
          </cell>
          <cell r="H26">
            <v>0.43000000000000016</v>
          </cell>
          <cell r="K26">
            <v>0.79592857142857198</v>
          </cell>
        </row>
        <row r="27">
          <cell r="E27">
            <v>0</v>
          </cell>
          <cell r="H27">
            <v>0.39000000000000012</v>
          </cell>
          <cell r="K27">
            <v>0.50650000000000028</v>
          </cell>
        </row>
        <row r="28">
          <cell r="E28">
            <v>0</v>
          </cell>
          <cell r="H28">
            <v>0.33000000000000007</v>
          </cell>
          <cell r="K28">
            <v>2.6772142857142862</v>
          </cell>
        </row>
        <row r="29">
          <cell r="E29">
            <v>0</v>
          </cell>
          <cell r="H29">
            <v>0.9700000000000002</v>
          </cell>
          <cell r="K29">
            <v>0.94064285714285778</v>
          </cell>
        </row>
        <row r="30">
          <cell r="E30">
            <v>0</v>
          </cell>
          <cell r="H30">
            <v>0.53000000000000025</v>
          </cell>
          <cell r="K30">
            <v>0.21707142857142872</v>
          </cell>
        </row>
        <row r="31">
          <cell r="E31">
            <v>0</v>
          </cell>
          <cell r="H31">
            <v>1.5700000000000003</v>
          </cell>
          <cell r="K31">
            <v>5.2820714285714274</v>
          </cell>
        </row>
        <row r="32">
          <cell r="E32">
            <v>0</v>
          </cell>
          <cell r="H32">
            <v>0</v>
          </cell>
          <cell r="K32">
            <v>1.0853571428571436</v>
          </cell>
        </row>
        <row r="33">
          <cell r="E33">
            <v>0</v>
          </cell>
          <cell r="H33">
            <v>1.87</v>
          </cell>
          <cell r="K33">
            <v>0.65121428571428619</v>
          </cell>
        </row>
        <row r="34">
          <cell r="E34">
            <v>0</v>
          </cell>
          <cell r="H34">
            <v>5.0000000000000044E-2</v>
          </cell>
          <cell r="K34">
            <v>0.21707142857142872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1.0000000000000009E-2</v>
          </cell>
          <cell r="K37">
            <v>3.6178571428572261E-2</v>
          </cell>
        </row>
        <row r="38">
          <cell r="E38">
            <v>0</v>
          </cell>
          <cell r="H38">
            <v>0</v>
          </cell>
          <cell r="K38">
            <v>0</v>
          </cell>
        </row>
        <row r="39">
          <cell r="E39">
            <v>0</v>
          </cell>
          <cell r="H39">
            <v>0</v>
          </cell>
          <cell r="K39">
            <v>0</v>
          </cell>
        </row>
        <row r="40">
          <cell r="E40">
            <v>0</v>
          </cell>
          <cell r="H40">
            <v>0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0.10000000000000009</v>
          </cell>
          <cell r="K50">
            <v>1.0130000000000006</v>
          </cell>
        </row>
      </sheetData>
      <sheetData sheetId="4" refreshError="1"/>
      <sheetData sheetId="5">
        <row r="8">
          <cell r="N8">
            <v>14.605298595874292</v>
          </cell>
        </row>
        <row r="9">
          <cell r="N9">
            <v>12.89411634692547</v>
          </cell>
        </row>
        <row r="10">
          <cell r="N10">
            <v>5.7122899136496788</v>
          </cell>
        </row>
        <row r="11">
          <cell r="N11">
            <v>2.5680859278542769</v>
          </cell>
        </row>
        <row r="12">
          <cell r="N12">
            <v>0.94227435757513256</v>
          </cell>
        </row>
        <row r="13">
          <cell r="N13">
            <v>23.19256925702663</v>
          </cell>
        </row>
        <row r="14">
          <cell r="N14">
            <v>21.436659405416794</v>
          </cell>
        </row>
        <row r="15">
          <cell r="N15">
            <v>0.98874500529037657</v>
          </cell>
        </row>
        <row r="16">
          <cell r="N16">
            <v>10.273938370634642</v>
          </cell>
        </row>
        <row r="17">
          <cell r="N17">
            <v>3.7884054676993895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3.5976173520533314</v>
          </cell>
        </row>
        <row r="32">
          <cell r="N32">
            <v>0.81016170465534043</v>
          </cell>
        </row>
        <row r="33">
          <cell r="N33">
            <v>3.0900825299813284</v>
          </cell>
        </row>
        <row r="34">
          <cell r="N34">
            <v>3.2800724998389117</v>
          </cell>
        </row>
        <row r="35">
          <cell r="N35">
            <v>2.1285078679266998</v>
          </cell>
        </row>
        <row r="36">
          <cell r="N36">
            <v>3.5852917445231909</v>
          </cell>
        </row>
        <row r="37">
          <cell r="N37">
            <v>3.8319675541824991</v>
          </cell>
        </row>
        <row r="38">
          <cell r="N38">
            <v>1.0220699066386283</v>
          </cell>
        </row>
        <row r="39">
          <cell r="N39">
            <v>0.85825245282855112</v>
          </cell>
        </row>
        <row r="43">
          <cell r="N43">
            <v>0.94227435757513256</v>
          </cell>
        </row>
        <row r="44">
          <cell r="N44">
            <v>14.30367550268997</v>
          </cell>
        </row>
        <row r="45">
          <cell r="N45">
            <v>8.8888937543366584</v>
          </cell>
        </row>
        <row r="46">
          <cell r="N46">
            <v>11.317161279530813</v>
          </cell>
        </row>
        <row r="47">
          <cell r="N47">
            <v>1.6278531244391046</v>
          </cell>
        </row>
        <row r="48">
          <cell r="N48">
            <v>1.1902790667411389</v>
          </cell>
        </row>
        <row r="49">
          <cell r="N49">
            <v>4.4645707344901666</v>
          </cell>
        </row>
        <row r="50">
          <cell r="N50">
            <v>2.8367952002155703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 H12 PB BAN"/>
      <sheetName val="ISS H12 PB PAR"/>
      <sheetName val="IVR H12 Pb PAR"/>
      <sheetName val="IVR H12 PB BAN"/>
      <sheetName val="ROM H12 PB BAN"/>
      <sheetName val="ROM H12 PB PAR"/>
      <sheetName val="STO H12 PB PAR"/>
      <sheetName val="STO H12 PB BAN"/>
      <sheetName val="Synthèse PB"/>
      <sheetName val="ISS H12 PC Ban"/>
      <sheetName val="ISS H12 PC PAR"/>
      <sheetName val="IVR H12 PC BAN"/>
      <sheetName val="IVR H12 PC PAR"/>
      <sheetName val="STO H12 PC BAN"/>
      <sheetName val="STO H12 PC PAR"/>
      <sheetName val="ROM H12 PC BAN"/>
      <sheetName val="ROM H12 PC PAR"/>
      <sheetName val="Synthèse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8">
          <cell r="B68" t="str">
            <v>Déchets Putrescibles</v>
          </cell>
        </row>
        <row r="69">
          <cell r="B69" t="str">
            <v>Papiers</v>
          </cell>
        </row>
        <row r="70">
          <cell r="B70" t="str">
            <v>Cartons</v>
          </cell>
        </row>
        <row r="71">
          <cell r="B71" t="str">
            <v>Composites</v>
          </cell>
        </row>
        <row r="72">
          <cell r="B72" t="str">
            <v xml:space="preserve">Textiles </v>
          </cell>
        </row>
        <row r="73">
          <cell r="B73" t="str">
            <v>Textiles sanitaires</v>
          </cell>
        </row>
        <row r="74">
          <cell r="B74" t="str">
            <v>Plastiques</v>
          </cell>
        </row>
        <row r="75">
          <cell r="B75" t="str">
            <v>Combustibles non classés</v>
          </cell>
        </row>
        <row r="76">
          <cell r="B76" t="str">
            <v>Verre</v>
          </cell>
        </row>
        <row r="77">
          <cell r="B77" t="str">
            <v>Métaux</v>
          </cell>
        </row>
        <row r="78">
          <cell r="B78" t="str">
            <v>Incombustibles non classés</v>
          </cell>
        </row>
        <row r="79">
          <cell r="B79" t="str">
            <v>Déchets ménagers spéciaux</v>
          </cell>
        </row>
        <row r="80">
          <cell r="B80" t="str">
            <v>Eléments fins &lt; 20 mm</v>
          </cell>
        </row>
        <row r="84">
          <cell r="B84" t="str">
            <v>Déchets Putrescibles</v>
          </cell>
        </row>
        <row r="85">
          <cell r="B85" t="str">
            <v>Papiers</v>
          </cell>
        </row>
        <row r="86">
          <cell r="B86" t="str">
            <v>Cartons</v>
          </cell>
        </row>
        <row r="87">
          <cell r="B87" t="str">
            <v>Composites</v>
          </cell>
        </row>
        <row r="88">
          <cell r="B88" t="str">
            <v xml:space="preserve">Textiles </v>
          </cell>
        </row>
        <row r="89">
          <cell r="B89" t="str">
            <v>Textiles sanitaires</v>
          </cell>
        </row>
        <row r="90">
          <cell r="B90" t="str">
            <v>Plastiques</v>
          </cell>
        </row>
        <row r="91">
          <cell r="B91" t="str">
            <v>Combustibles non classés</v>
          </cell>
        </row>
        <row r="92">
          <cell r="B92" t="str">
            <v>Verre</v>
          </cell>
        </row>
        <row r="93">
          <cell r="B93" t="str">
            <v>Métaux</v>
          </cell>
        </row>
        <row r="94">
          <cell r="B94" t="str">
            <v>Incombustibles non classés</v>
          </cell>
        </row>
        <row r="95">
          <cell r="B95" t="str">
            <v>Déchets ménagers spéciaux</v>
          </cell>
        </row>
        <row r="96">
          <cell r="B96" t="str">
            <v>Eléments fins &lt; 20 mm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 A11 PB BAN"/>
      <sheetName val="ISS A11 PB PAR"/>
      <sheetName val="IVR A11 PB BAN"/>
      <sheetName val="IVR A11 PB PAR"/>
      <sheetName val="ROM A11 PB BAN"/>
      <sheetName val="ROM A11 PB PAR"/>
      <sheetName val="STO A11 PB BAN"/>
      <sheetName val="STO A11 PB PAR"/>
      <sheetName val="Synthèse A11 PB"/>
      <sheetName val="ISS A11 PC BAN"/>
      <sheetName val="ISS A11 PC PAR"/>
      <sheetName val="IVR A11 PC BAN"/>
      <sheetName val="IVR A1 PC PAR"/>
      <sheetName val="ROM A11 PC BAN"/>
      <sheetName val="ROM A11 PC PAR"/>
      <sheetName val="STO A11 PC BAN"/>
      <sheetName val="STO A11 PC PAR"/>
      <sheetName val="Synthèse A11 PC"/>
      <sheetName val="Analyses par catégories"/>
      <sheetName val="SYCTOM déchets organiques"/>
      <sheetName val="Déchets ini. recons."/>
      <sheetName val="Syctom CSR"/>
      <sheetName val="Fraction 8mm-20mm"/>
      <sheetName val="Granulo P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64">
          <cell r="B164" t="str">
            <v>OMR</v>
          </cell>
        </row>
        <row r="166">
          <cell r="B166" t="str">
            <v>Collecte sélective</v>
          </cell>
        </row>
        <row r="167">
          <cell r="B167" t="str">
            <v>Verre</v>
          </cell>
        </row>
        <row r="168">
          <cell r="B168" t="str">
            <v>Textiles</v>
          </cell>
        </row>
        <row r="169">
          <cell r="B169" t="str">
            <v>Déchets ménagers spéciaux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ISS-P15-PC-BAN</v>
          </cell>
        </row>
        <row r="6">
          <cell r="D6" t="str">
            <v>BA-126-ZV - CHATILLON</v>
          </cell>
        </row>
        <row r="8">
          <cell r="D8" t="str">
            <v>ISSEANE</v>
          </cell>
        </row>
        <row r="12">
          <cell r="B12">
            <v>42158</v>
          </cell>
          <cell r="E12" t="str">
            <v>8H25</v>
          </cell>
        </row>
        <row r="15">
          <cell r="E15" t="str">
            <v>sec, nuageux</v>
          </cell>
        </row>
        <row r="19">
          <cell r="G19">
            <v>125.16</v>
          </cell>
        </row>
        <row r="26">
          <cell r="H26">
            <v>0.42</v>
          </cell>
        </row>
        <row r="51">
          <cell r="D51">
            <v>0.41770533716842434</v>
          </cell>
        </row>
      </sheetData>
      <sheetData sheetId="1" refreshError="1"/>
      <sheetData sheetId="2">
        <row r="27">
          <cell r="C27">
            <v>5.7</v>
          </cell>
          <cell r="D27">
            <v>3.54</v>
          </cell>
        </row>
      </sheetData>
      <sheetData sheetId="3">
        <row r="5">
          <cell r="E5">
            <v>0</v>
          </cell>
          <cell r="H5">
            <v>28.08</v>
          </cell>
          <cell r="K5">
            <v>25.061812297734615</v>
          </cell>
        </row>
        <row r="6">
          <cell r="E6">
            <v>0</v>
          </cell>
          <cell r="H6">
            <v>5.44</v>
          </cell>
          <cell r="K6">
            <v>3.5802588996763758</v>
          </cell>
        </row>
        <row r="7">
          <cell r="E7">
            <v>0</v>
          </cell>
          <cell r="H7">
            <v>0.2200000000000002</v>
          </cell>
          <cell r="K7">
            <v>0.77411003236246012</v>
          </cell>
        </row>
      </sheetData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Calcul sous cat &gt;20"/>
      <sheetName val="F5_synthèse  (2)"/>
    </sheetNames>
    <sheetDataSet>
      <sheetData sheetId="0">
        <row r="5">
          <cell r="D5" t="str">
            <v>ISS-P15-PC-PAR</v>
          </cell>
        </row>
        <row r="6">
          <cell r="D6" t="str">
            <v>861 RLM 75 - PARIS 8E ARRDT</v>
          </cell>
        </row>
        <row r="8">
          <cell r="D8" t="str">
            <v>ISSEANE</v>
          </cell>
        </row>
        <row r="12">
          <cell r="B12">
            <v>42158</v>
          </cell>
          <cell r="E12" t="str">
            <v>7H55</v>
          </cell>
        </row>
        <row r="15">
          <cell r="E15" t="str">
            <v>sec, nuageux</v>
          </cell>
        </row>
        <row r="19">
          <cell r="G19">
            <v>124.22</v>
          </cell>
        </row>
        <row r="26">
          <cell r="H26">
            <v>0.42</v>
          </cell>
        </row>
        <row r="51">
          <cell r="D51">
            <v>0.43744968604089524</v>
          </cell>
        </row>
      </sheetData>
      <sheetData sheetId="1" refreshError="1"/>
      <sheetData sheetId="2">
        <row r="27">
          <cell r="C27">
            <v>1.3200000000000003</v>
          </cell>
          <cell r="D27">
            <v>2.96</v>
          </cell>
        </row>
      </sheetData>
      <sheetData sheetId="3">
        <row r="5">
          <cell r="E5">
            <v>0</v>
          </cell>
          <cell r="H5">
            <v>23.799999999999997</v>
          </cell>
          <cell r="K5">
            <v>32.15050847457627</v>
          </cell>
        </row>
        <row r="6">
          <cell r="E6">
            <v>0</v>
          </cell>
          <cell r="H6">
            <v>4.92</v>
          </cell>
          <cell r="K6">
            <v>3.1905084745762711</v>
          </cell>
        </row>
        <row r="7">
          <cell r="E7">
            <v>0</v>
          </cell>
          <cell r="H7">
            <v>0.18000000000000016</v>
          </cell>
          <cell r="K7">
            <v>1.104406779661018</v>
          </cell>
        </row>
      </sheetData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IVR P15 PC BAN</v>
          </cell>
        </row>
        <row r="6">
          <cell r="D6" t="str">
            <v>cachan 4239TJ94</v>
          </cell>
        </row>
        <row r="8">
          <cell r="D8" t="str">
            <v>Ivry</v>
          </cell>
        </row>
        <row r="12">
          <cell r="B12">
            <v>42145</v>
          </cell>
          <cell r="E12">
            <v>0.39930555555555558</v>
          </cell>
        </row>
        <row r="15">
          <cell r="E15" t="str">
            <v>ensoleillé</v>
          </cell>
        </row>
        <row r="19">
          <cell r="G19">
            <v>126.24000000000001</v>
          </cell>
        </row>
        <row r="26">
          <cell r="H26">
            <v>0.5</v>
          </cell>
        </row>
        <row r="51">
          <cell r="D51">
            <v>0.39052598225602037</v>
          </cell>
        </row>
      </sheetData>
      <sheetData sheetId="1" refreshError="1"/>
      <sheetData sheetId="2">
        <row r="27">
          <cell r="C27">
            <v>5.36</v>
          </cell>
          <cell r="D27">
            <v>3.9800000000000004</v>
          </cell>
        </row>
      </sheetData>
      <sheetData sheetId="3">
        <row r="5">
          <cell r="E5">
            <v>1.1200000000000001</v>
          </cell>
          <cell r="H5">
            <v>21.46</v>
          </cell>
          <cell r="K5">
            <v>31.646376811594209</v>
          </cell>
        </row>
        <row r="6">
          <cell r="E6">
            <v>0.72</v>
          </cell>
          <cell r="H6">
            <v>2.3200000000000003</v>
          </cell>
          <cell r="K6">
            <v>7.6130434782608702</v>
          </cell>
        </row>
        <row r="7">
          <cell r="E7">
            <v>0</v>
          </cell>
          <cell r="H7">
            <v>0.26000000000000023</v>
          </cell>
          <cell r="K7">
            <v>2.2391304347826111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IVR P15 PC PAR</v>
          </cell>
        </row>
        <row r="6">
          <cell r="D6" t="str">
            <v>CN 548 PT</v>
          </cell>
        </row>
        <row r="8">
          <cell r="D8" t="str">
            <v>Ivry</v>
          </cell>
        </row>
        <row r="12">
          <cell r="B12">
            <v>42145</v>
          </cell>
          <cell r="E12">
            <v>0.3576388888888889</v>
          </cell>
        </row>
        <row r="15">
          <cell r="E15" t="str">
            <v>ensoleillé</v>
          </cell>
        </row>
        <row r="19">
          <cell r="G19">
            <v>127.26</v>
          </cell>
        </row>
        <row r="26">
          <cell r="H26">
            <v>0.5</v>
          </cell>
        </row>
        <row r="51">
          <cell r="D51">
            <v>0.47072921577872073</v>
          </cell>
        </row>
      </sheetData>
      <sheetData sheetId="1" refreshError="1"/>
      <sheetData sheetId="2">
        <row r="27">
          <cell r="C27">
            <v>3.6400000000000006</v>
          </cell>
          <cell r="D27">
            <v>4.1000000000000005</v>
          </cell>
        </row>
      </sheetData>
      <sheetData sheetId="3">
        <row r="5">
          <cell r="E5">
            <v>0.36</v>
          </cell>
          <cell r="H5">
            <v>19.240000000000002</v>
          </cell>
          <cell r="K5">
            <v>28.440317460317463</v>
          </cell>
        </row>
        <row r="6">
          <cell r="E6">
            <v>0</v>
          </cell>
          <cell r="H6">
            <v>4.04</v>
          </cell>
          <cell r="K6">
            <v>6.7580952380952377</v>
          </cell>
        </row>
        <row r="7">
          <cell r="E7">
            <v>0</v>
          </cell>
          <cell r="H7">
            <v>0.26000000000000023</v>
          </cell>
          <cell r="K7">
            <v>0.56317460317460366</v>
          </cell>
        </row>
      </sheetData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ROM P15 PC BAN</v>
          </cell>
        </row>
        <row r="6">
          <cell r="D6" t="str">
            <v>Le bourget DG 293 HT</v>
          </cell>
        </row>
        <row r="8">
          <cell r="D8" t="str">
            <v>Romainville</v>
          </cell>
        </row>
        <row r="15">
          <cell r="E15" t="str">
            <v>sec et ensoleillé</v>
          </cell>
        </row>
        <row r="19">
          <cell r="G19">
            <v>127.28</v>
          </cell>
        </row>
        <row r="21">
          <cell r="H21">
            <v>0.3</v>
          </cell>
        </row>
        <row r="22">
          <cell r="H22">
            <v>0.1</v>
          </cell>
        </row>
        <row r="51">
          <cell r="D51">
            <v>0.4267127592708988</v>
          </cell>
        </row>
      </sheetData>
      <sheetData sheetId="1" refreshError="1"/>
      <sheetData sheetId="2">
        <row r="27">
          <cell r="C27">
            <v>2.9400000000000004</v>
          </cell>
          <cell r="D27">
            <v>3.1000000000000005</v>
          </cell>
        </row>
      </sheetData>
      <sheetData sheetId="3">
        <row r="5">
          <cell r="E5">
            <v>4.78</v>
          </cell>
          <cell r="H5">
            <v>19.880000000000003</v>
          </cell>
          <cell r="K5">
            <v>24.968543689320384</v>
          </cell>
        </row>
        <row r="6">
          <cell r="E6">
            <v>0</v>
          </cell>
          <cell r="H6">
            <v>4.74</v>
          </cell>
          <cell r="K6">
            <v>11.749902912621359</v>
          </cell>
        </row>
        <row r="7">
          <cell r="E7">
            <v>0</v>
          </cell>
          <cell r="H7">
            <v>0.20000000000000018</v>
          </cell>
          <cell r="K7">
            <v>0.73436893203883546</v>
          </cell>
        </row>
      </sheetData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ROM P15 PC PAR</v>
          </cell>
        </row>
        <row r="6">
          <cell r="D6" t="str">
            <v>901 QJQ 75 20è</v>
          </cell>
        </row>
        <row r="8">
          <cell r="D8" t="str">
            <v>Romainville</v>
          </cell>
        </row>
        <row r="12">
          <cell r="B12">
            <v>42144</v>
          </cell>
          <cell r="E12">
            <v>0.32291666666666669</v>
          </cell>
        </row>
        <row r="15">
          <cell r="E15" t="str">
            <v>ensoleillé et nuageux</v>
          </cell>
        </row>
        <row r="19">
          <cell r="G19">
            <v>128.19999999999999</v>
          </cell>
        </row>
        <row r="26">
          <cell r="H26">
            <v>0.5</v>
          </cell>
        </row>
        <row r="51">
          <cell r="D51">
            <v>0.40015600624024961</v>
          </cell>
        </row>
      </sheetData>
      <sheetData sheetId="1" refreshError="1"/>
      <sheetData sheetId="2">
        <row r="27">
          <cell r="C27">
            <v>4.24</v>
          </cell>
          <cell r="D27">
            <v>4.26</v>
          </cell>
        </row>
      </sheetData>
      <sheetData sheetId="3">
        <row r="5">
          <cell r="E5">
            <v>0.34</v>
          </cell>
          <cell r="H5">
            <v>22.700000000000003</v>
          </cell>
          <cell r="K5">
            <v>28.008528301886795</v>
          </cell>
        </row>
        <row r="6">
          <cell r="E6">
            <v>0</v>
          </cell>
          <cell r="H6">
            <v>5.78</v>
          </cell>
          <cell r="K6">
            <v>9.3850566037735863</v>
          </cell>
        </row>
        <row r="7">
          <cell r="E7">
            <v>0</v>
          </cell>
          <cell r="H7">
            <v>0.45999999999999996</v>
          </cell>
          <cell r="K7">
            <v>1.1731320754716992</v>
          </cell>
        </row>
      </sheetData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STO-P15-PC-BAN</v>
          </cell>
        </row>
        <row r="6">
          <cell r="D6" t="str">
            <v>CP-053-LS - Neuilly sur Seine Voies étroites</v>
          </cell>
        </row>
        <row r="8">
          <cell r="D8" t="str">
            <v>SAINT OUEN</v>
          </cell>
        </row>
        <row r="12">
          <cell r="B12">
            <v>42159</v>
          </cell>
          <cell r="E12" t="str">
            <v>9h35</v>
          </cell>
        </row>
        <row r="15">
          <cell r="E15" t="str">
            <v>sec, ensoleillé</v>
          </cell>
        </row>
        <row r="19">
          <cell r="G19">
            <v>129.01999999999998</v>
          </cell>
        </row>
        <row r="26">
          <cell r="H26">
            <v>0.54</v>
          </cell>
        </row>
        <row r="51">
          <cell r="D51">
            <v>0.33025887459308628</v>
          </cell>
        </row>
      </sheetData>
      <sheetData sheetId="1" refreshError="1"/>
      <sheetData sheetId="2">
        <row r="27">
          <cell r="C27">
            <v>1.9000000000000004</v>
          </cell>
          <cell r="D27">
            <v>2.88</v>
          </cell>
        </row>
      </sheetData>
      <sheetData sheetId="3">
        <row r="5">
          <cell r="E5">
            <v>3.36</v>
          </cell>
          <cell r="H5">
            <v>38.299999999999997</v>
          </cell>
          <cell r="K5">
            <v>27.67967611336033</v>
          </cell>
        </row>
        <row r="6">
          <cell r="E6">
            <v>0</v>
          </cell>
          <cell r="H6">
            <v>1.2800000000000002</v>
          </cell>
          <cell r="K6">
            <v>8.9240485829959546</v>
          </cell>
        </row>
        <row r="7">
          <cell r="E7">
            <v>0</v>
          </cell>
          <cell r="H7">
            <v>8.0000000000000071E-2</v>
          </cell>
          <cell r="K7">
            <v>0.30251012145749018</v>
          </cell>
        </row>
      </sheetData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STO-P15-PC-PAR</v>
          </cell>
        </row>
        <row r="6">
          <cell r="D6" t="str">
            <v>DF-685-MN - PARIS 9EME ARRDT</v>
          </cell>
        </row>
        <row r="8">
          <cell r="D8" t="str">
            <v>SAINT OUEN</v>
          </cell>
        </row>
        <row r="12">
          <cell r="B12">
            <v>42159</v>
          </cell>
          <cell r="E12" t="str">
            <v>8H25</v>
          </cell>
        </row>
        <row r="15">
          <cell r="E15" t="str">
            <v>sec, ensoleillé</v>
          </cell>
        </row>
        <row r="19">
          <cell r="G19">
            <v>126.39999999999999</v>
          </cell>
        </row>
        <row r="26">
          <cell r="H26">
            <v>0.55000000000000004</v>
          </cell>
        </row>
        <row r="51">
          <cell r="D51">
            <v>0.36657436708860747</v>
          </cell>
        </row>
      </sheetData>
      <sheetData sheetId="1" refreshError="1"/>
      <sheetData sheetId="2">
        <row r="27">
          <cell r="C27">
            <v>5.12</v>
          </cell>
          <cell r="D27">
            <v>2.8600000000000003</v>
          </cell>
        </row>
      </sheetData>
      <sheetData sheetId="3">
        <row r="5">
          <cell r="E5">
            <v>0.52</v>
          </cell>
          <cell r="H5">
            <v>29.740000000000002</v>
          </cell>
          <cell r="K5">
            <v>27.871713147410354</v>
          </cell>
        </row>
        <row r="6">
          <cell r="E6">
            <v>0</v>
          </cell>
          <cell r="H6">
            <v>5.08</v>
          </cell>
          <cell r="K6">
            <v>7.921434262948206</v>
          </cell>
        </row>
        <row r="7">
          <cell r="E7">
            <v>0</v>
          </cell>
          <cell r="H7">
            <v>0.28000000000000025</v>
          </cell>
          <cell r="K7">
            <v>0.73346613545816797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ISS-P15-PB-PAR</v>
          </cell>
        </row>
        <row r="6">
          <cell r="D6" t="str">
            <v>861 RLM 75 - PARIS 8E ARRDT</v>
          </cell>
        </row>
        <row r="8">
          <cell r="D8" t="str">
            <v>ISSEANE</v>
          </cell>
        </row>
        <row r="12">
          <cell r="B12">
            <v>42158</v>
          </cell>
          <cell r="E12" t="str">
            <v>7H55</v>
          </cell>
        </row>
        <row r="15">
          <cell r="E15" t="str">
            <v>sec, nuageux</v>
          </cell>
        </row>
        <row r="19">
          <cell r="G19">
            <v>129.18</v>
          </cell>
        </row>
        <row r="26">
          <cell r="H26">
            <v>0.42</v>
          </cell>
        </row>
        <row r="51">
          <cell r="D51">
            <v>0.48129741446044272</v>
          </cell>
        </row>
      </sheetData>
      <sheetData sheetId="1" refreshError="1"/>
      <sheetData sheetId="2">
        <row r="27">
          <cell r="C27">
            <v>2.4400000000000004</v>
          </cell>
          <cell r="D27">
            <v>3.6400000000000006</v>
          </cell>
        </row>
      </sheetData>
      <sheetData sheetId="3">
        <row r="5">
          <cell r="E5">
            <v>0</v>
          </cell>
          <cell r="H5">
            <v>0.75</v>
          </cell>
          <cell r="K5">
            <v>3.4741719745222928</v>
          </cell>
        </row>
        <row r="6">
          <cell r="E6">
            <v>0</v>
          </cell>
          <cell r="H6">
            <v>0.85000000000000009</v>
          </cell>
          <cell r="K6">
            <v>7.8042993630573259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0</v>
          </cell>
          <cell r="K8">
            <v>0</v>
          </cell>
        </row>
        <row r="9">
          <cell r="E9">
            <v>0</v>
          </cell>
          <cell r="H9">
            <v>0</v>
          </cell>
          <cell r="K9">
            <v>0.25175159235668815</v>
          </cell>
        </row>
        <row r="10">
          <cell r="E10">
            <v>0</v>
          </cell>
          <cell r="H10">
            <v>0.25</v>
          </cell>
          <cell r="K10">
            <v>0.25175159235668815</v>
          </cell>
        </row>
        <row r="11">
          <cell r="E11">
            <v>0</v>
          </cell>
          <cell r="H11">
            <v>0.95000000000000018</v>
          </cell>
          <cell r="K11">
            <v>0.25175159235668815</v>
          </cell>
        </row>
        <row r="12">
          <cell r="E12">
            <v>0</v>
          </cell>
          <cell r="H12">
            <v>0</v>
          </cell>
          <cell r="K12">
            <v>0</v>
          </cell>
        </row>
        <row r="13">
          <cell r="E13">
            <v>0</v>
          </cell>
          <cell r="H13">
            <v>0.13000000000000012</v>
          </cell>
          <cell r="K13">
            <v>0.55385350318471382</v>
          </cell>
        </row>
        <row r="14">
          <cell r="E14">
            <v>0</v>
          </cell>
          <cell r="H14">
            <v>0.51000000000000023</v>
          </cell>
          <cell r="K14">
            <v>1.2587579617834395</v>
          </cell>
        </row>
        <row r="15">
          <cell r="E15">
            <v>0</v>
          </cell>
          <cell r="H15">
            <v>0.31000000000000005</v>
          </cell>
          <cell r="K15">
            <v>0.55385350318471382</v>
          </cell>
        </row>
        <row r="16">
          <cell r="E16">
            <v>2.5999999999999996</v>
          </cell>
          <cell r="H16">
            <v>1.7000000000000002</v>
          </cell>
          <cell r="K16">
            <v>1.6615605095541406</v>
          </cell>
        </row>
        <row r="17">
          <cell r="E17">
            <v>0</v>
          </cell>
          <cell r="H17">
            <v>0.39000000000000012</v>
          </cell>
          <cell r="K17">
            <v>0.25175159235668815</v>
          </cell>
        </row>
        <row r="18">
          <cell r="E18">
            <v>0</v>
          </cell>
          <cell r="H18">
            <v>0.51000000000000023</v>
          </cell>
          <cell r="K18">
            <v>0</v>
          </cell>
        </row>
        <row r="19">
          <cell r="E19">
            <v>0</v>
          </cell>
          <cell r="H19">
            <v>0.43000000000000016</v>
          </cell>
          <cell r="K19">
            <v>0.15105095541401287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5.0350318471337627E-2</v>
          </cell>
        </row>
        <row r="22">
          <cell r="E22">
            <v>0</v>
          </cell>
          <cell r="H22">
            <v>0.57000000000000028</v>
          </cell>
          <cell r="K22">
            <v>0.45315286624203865</v>
          </cell>
        </row>
        <row r="23">
          <cell r="E23">
            <v>0</v>
          </cell>
          <cell r="H23">
            <v>0</v>
          </cell>
          <cell r="K23">
            <v>0</v>
          </cell>
        </row>
        <row r="24">
          <cell r="E24">
            <v>0</v>
          </cell>
          <cell r="H24">
            <v>6.3199999999999985</v>
          </cell>
          <cell r="K24">
            <v>6.7972929936305739</v>
          </cell>
        </row>
        <row r="25">
          <cell r="E25">
            <v>0</v>
          </cell>
          <cell r="H25">
            <v>5.5299999999999994</v>
          </cell>
          <cell r="K25">
            <v>1.46015923566879</v>
          </cell>
        </row>
        <row r="26">
          <cell r="E26">
            <v>0</v>
          </cell>
          <cell r="H26">
            <v>0.64999999999999991</v>
          </cell>
          <cell r="K26">
            <v>0.35245222929936343</v>
          </cell>
        </row>
        <row r="27">
          <cell r="E27">
            <v>0</v>
          </cell>
          <cell r="H27">
            <v>0.19000000000000017</v>
          </cell>
          <cell r="K27">
            <v>0</v>
          </cell>
        </row>
        <row r="28">
          <cell r="E28">
            <v>0</v>
          </cell>
          <cell r="H28">
            <v>2.86</v>
          </cell>
          <cell r="K28">
            <v>1.1580573248407642</v>
          </cell>
        </row>
        <row r="29">
          <cell r="E29">
            <v>0</v>
          </cell>
          <cell r="H29">
            <v>0.51000000000000023</v>
          </cell>
          <cell r="K29">
            <v>1.0573566878980902</v>
          </cell>
        </row>
        <row r="30">
          <cell r="E30">
            <v>0.54</v>
          </cell>
          <cell r="H30">
            <v>0.49000000000000021</v>
          </cell>
          <cell r="K30">
            <v>0.25175159235668815</v>
          </cell>
        </row>
        <row r="31">
          <cell r="E31">
            <v>0</v>
          </cell>
          <cell r="H31">
            <v>0.9700000000000002</v>
          </cell>
          <cell r="K31">
            <v>0.65455414012738899</v>
          </cell>
        </row>
        <row r="32">
          <cell r="E32">
            <v>0</v>
          </cell>
          <cell r="H32">
            <v>0</v>
          </cell>
          <cell r="K32">
            <v>0.15105095541401287</v>
          </cell>
        </row>
        <row r="33">
          <cell r="E33">
            <v>0</v>
          </cell>
          <cell r="H33">
            <v>0.29000000000000004</v>
          </cell>
          <cell r="K33">
            <v>0.55385350318471382</v>
          </cell>
        </row>
        <row r="34">
          <cell r="E34">
            <v>0</v>
          </cell>
          <cell r="H34">
            <v>0.1100000000000001</v>
          </cell>
          <cell r="K34">
            <v>0.45315286624203865</v>
          </cell>
        </row>
        <row r="35">
          <cell r="E35">
            <v>0</v>
          </cell>
          <cell r="H35">
            <v>0</v>
          </cell>
          <cell r="K35">
            <v>0.70490445859872564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0</v>
          </cell>
          <cell r="K37">
            <v>0.15105095541401287</v>
          </cell>
        </row>
        <row r="38">
          <cell r="E38">
            <v>0</v>
          </cell>
          <cell r="H38">
            <v>0</v>
          </cell>
          <cell r="K38">
            <v>0</v>
          </cell>
        </row>
        <row r="39">
          <cell r="E39">
            <v>0</v>
          </cell>
          <cell r="H39">
            <v>0.27</v>
          </cell>
          <cell r="K39">
            <v>0.25175159235668815</v>
          </cell>
        </row>
        <row r="40">
          <cell r="E40">
            <v>0</v>
          </cell>
          <cell r="H40">
            <v>0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0.40280254777070101</v>
          </cell>
        </row>
        <row r="42">
          <cell r="E42">
            <v>0</v>
          </cell>
          <cell r="H42">
            <v>0.12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2.0000000000000018E-2</v>
          </cell>
          <cell r="K48">
            <v>0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0.64000000000000012</v>
          </cell>
          <cell r="K50">
            <v>1.0070063694267526</v>
          </cell>
        </row>
      </sheetData>
      <sheetData sheetId="4" refreshError="1"/>
      <sheetData sheetId="5">
        <row r="8">
          <cell r="N8">
            <v>37.040068160793368</v>
          </cell>
        </row>
        <row r="9">
          <cell r="N9">
            <v>4.8051794391281062</v>
          </cell>
        </row>
        <row r="10">
          <cell r="N10">
            <v>8.6342594128149095</v>
          </cell>
        </row>
        <row r="11">
          <cell r="N11">
            <v>1.6613727651659729</v>
          </cell>
        </row>
        <row r="12">
          <cell r="N12">
            <v>1.1821936796643406</v>
          </cell>
        </row>
        <row r="13">
          <cell r="N13">
            <v>15.571698226306065</v>
          </cell>
        </row>
        <row r="14">
          <cell r="N14">
            <v>17.947553161755319</v>
          </cell>
        </row>
        <row r="15">
          <cell r="N15">
            <v>1.5123755257389642</v>
          </cell>
        </row>
        <row r="16">
          <cell r="N16">
            <v>2.0495384347936354</v>
          </cell>
        </row>
        <row r="17">
          <cell r="N17">
            <v>2.6968722550074489</v>
          </cell>
        </row>
        <row r="18">
          <cell r="N18">
            <v>0.68760967898570835</v>
          </cell>
        </row>
        <row r="19">
          <cell r="N19">
            <v>0.63975951057706293</v>
          </cell>
        </row>
        <row r="20">
          <cell r="N20">
            <v>5.5715197492690853</v>
          </cell>
        </row>
        <row r="32">
          <cell r="N32">
            <v>0.58942587009552327</v>
          </cell>
        </row>
        <row r="33">
          <cell r="N33">
            <v>1.3632628621232394</v>
          </cell>
        </row>
        <row r="34">
          <cell r="N34">
            <v>0</v>
          </cell>
        </row>
        <row r="35">
          <cell r="N35">
            <v>0.78332699546516049</v>
          </cell>
        </row>
        <row r="36">
          <cell r="N36">
            <v>2.0691637114441837</v>
          </cell>
        </row>
        <row r="37">
          <cell r="N37">
            <v>0.99610408802212902</v>
          </cell>
        </row>
        <row r="38">
          <cell r="N38">
            <v>6.8823765777081238</v>
          </cell>
        </row>
        <row r="39">
          <cell r="N39">
            <v>0.75577874708465675</v>
          </cell>
        </row>
        <row r="43">
          <cell r="N43">
            <v>1.1821936796643406</v>
          </cell>
        </row>
        <row r="44">
          <cell r="N44">
            <v>0</v>
          </cell>
        </row>
        <row r="45">
          <cell r="N45">
            <v>15.571698226306065</v>
          </cell>
        </row>
        <row r="46">
          <cell r="N46">
            <v>9.1997442888175858</v>
          </cell>
        </row>
        <row r="47">
          <cell r="N47">
            <v>1.1786944306009803</v>
          </cell>
        </row>
        <row r="48">
          <cell r="N48">
            <v>0.2233511352955766</v>
          </cell>
        </row>
        <row r="49">
          <cell r="N49">
            <v>5.284198459793787</v>
          </cell>
        </row>
        <row r="50">
          <cell r="N50">
            <v>2.0615648472473893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IVR P15 PB BAN</v>
          </cell>
        </row>
        <row r="6">
          <cell r="D6" t="str">
            <v>cachan 4239TJ94</v>
          </cell>
        </row>
        <row r="8">
          <cell r="D8" t="str">
            <v>Ivry</v>
          </cell>
        </row>
        <row r="12">
          <cell r="B12">
            <v>42145</v>
          </cell>
          <cell r="E12">
            <v>0.39930555555555558</v>
          </cell>
        </row>
        <row r="15">
          <cell r="E15" t="str">
            <v>ensoleillé</v>
          </cell>
        </row>
        <row r="19">
          <cell r="G19">
            <v>126.64000000000001</v>
          </cell>
        </row>
        <row r="26">
          <cell r="H26">
            <v>0.45</v>
          </cell>
        </row>
        <row r="51">
          <cell r="D51">
            <v>0.40097915350600133</v>
          </cell>
        </row>
      </sheetData>
      <sheetData sheetId="1" refreshError="1"/>
      <sheetData sheetId="2">
        <row r="27">
          <cell r="C27">
            <v>2.0600000000000005</v>
          </cell>
          <cell r="D27">
            <v>3.5</v>
          </cell>
        </row>
      </sheetData>
      <sheetData sheetId="3">
        <row r="5">
          <cell r="E5">
            <v>0</v>
          </cell>
          <cell r="H5">
            <v>0.1100000000000001</v>
          </cell>
          <cell r="K5">
            <v>1.3506963636363649</v>
          </cell>
        </row>
        <row r="6">
          <cell r="E6">
            <v>0</v>
          </cell>
          <cell r="H6">
            <v>1.4900000000000002</v>
          </cell>
          <cell r="K6">
            <v>4.5288054545454575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0</v>
          </cell>
          <cell r="K8">
            <v>0</v>
          </cell>
        </row>
        <row r="9">
          <cell r="E9">
            <v>0</v>
          </cell>
          <cell r="H9">
            <v>0</v>
          </cell>
          <cell r="K9">
            <v>0</v>
          </cell>
        </row>
        <row r="10">
          <cell r="E10">
            <v>0</v>
          </cell>
          <cell r="H10">
            <v>0.41000000000000014</v>
          </cell>
          <cell r="K10">
            <v>0.5561690909090915</v>
          </cell>
        </row>
        <row r="11">
          <cell r="E11">
            <v>0</v>
          </cell>
          <cell r="H11">
            <v>0.66999999999999993</v>
          </cell>
          <cell r="K11">
            <v>0</v>
          </cell>
        </row>
        <row r="12">
          <cell r="E12">
            <v>0</v>
          </cell>
          <cell r="H12">
            <v>2.35</v>
          </cell>
          <cell r="K12">
            <v>0.5561690909090915</v>
          </cell>
        </row>
        <row r="13">
          <cell r="E13">
            <v>0</v>
          </cell>
          <cell r="H13">
            <v>0.87000000000000011</v>
          </cell>
          <cell r="K13">
            <v>0.87398000000000087</v>
          </cell>
        </row>
        <row r="14">
          <cell r="E14">
            <v>0.7</v>
          </cell>
          <cell r="H14">
            <v>0.37000000000000011</v>
          </cell>
          <cell r="K14">
            <v>0.87398000000000087</v>
          </cell>
        </row>
        <row r="15">
          <cell r="E15">
            <v>0</v>
          </cell>
          <cell r="H15">
            <v>1.4800000000000004</v>
          </cell>
          <cell r="K15">
            <v>3.4164672727272745</v>
          </cell>
        </row>
        <row r="16">
          <cell r="E16">
            <v>0</v>
          </cell>
          <cell r="H16">
            <v>0.49000000000000021</v>
          </cell>
          <cell r="K16">
            <v>7.9452727272727355E-2</v>
          </cell>
        </row>
        <row r="17">
          <cell r="E17">
            <v>0</v>
          </cell>
          <cell r="H17">
            <v>7.0000000000000062E-2</v>
          </cell>
          <cell r="K17">
            <v>0</v>
          </cell>
        </row>
        <row r="18">
          <cell r="E18">
            <v>0</v>
          </cell>
          <cell r="H18">
            <v>0.27</v>
          </cell>
          <cell r="K18">
            <v>0</v>
          </cell>
        </row>
        <row r="19">
          <cell r="E19">
            <v>0</v>
          </cell>
          <cell r="H19">
            <v>0.31000000000000005</v>
          </cell>
          <cell r="K19">
            <v>0.71507454545454618</v>
          </cell>
        </row>
        <row r="20">
          <cell r="E20">
            <v>0</v>
          </cell>
          <cell r="H20">
            <v>0.33000000000000007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0</v>
          </cell>
          <cell r="H22">
            <v>0.77</v>
          </cell>
          <cell r="K22">
            <v>3.0986563636363651</v>
          </cell>
        </row>
        <row r="23">
          <cell r="E23">
            <v>0</v>
          </cell>
          <cell r="H23">
            <v>0.5900000000000003</v>
          </cell>
          <cell r="K23">
            <v>2.7808454545454557</v>
          </cell>
        </row>
        <row r="24">
          <cell r="E24">
            <v>0</v>
          </cell>
          <cell r="H24">
            <v>0.19000000000000017</v>
          </cell>
          <cell r="K24">
            <v>6.5945763636363646</v>
          </cell>
        </row>
        <row r="25">
          <cell r="E25">
            <v>0</v>
          </cell>
          <cell r="H25">
            <v>4.6099999999999994</v>
          </cell>
          <cell r="K25">
            <v>1.1917909090909102</v>
          </cell>
        </row>
        <row r="26">
          <cell r="E26">
            <v>0</v>
          </cell>
          <cell r="H26">
            <v>1.1200000000000001</v>
          </cell>
          <cell r="K26">
            <v>1.6685072727272745</v>
          </cell>
        </row>
        <row r="27">
          <cell r="E27">
            <v>0</v>
          </cell>
          <cell r="H27">
            <v>0.66999999999999993</v>
          </cell>
          <cell r="K27">
            <v>1.0328854545454556</v>
          </cell>
        </row>
        <row r="28">
          <cell r="E28">
            <v>0</v>
          </cell>
          <cell r="H28">
            <v>1.4000000000000004</v>
          </cell>
          <cell r="K28">
            <v>1.8274127272727272</v>
          </cell>
        </row>
        <row r="29">
          <cell r="E29">
            <v>0</v>
          </cell>
          <cell r="H29">
            <v>0.22999999999999998</v>
          </cell>
          <cell r="K29">
            <v>0.5561690909090915</v>
          </cell>
        </row>
        <row r="30">
          <cell r="E30">
            <v>0.2</v>
          </cell>
          <cell r="H30">
            <v>3.69</v>
          </cell>
          <cell r="K30">
            <v>1.9863181818181821</v>
          </cell>
        </row>
        <row r="31">
          <cell r="E31">
            <v>0</v>
          </cell>
          <cell r="H31">
            <v>2.65</v>
          </cell>
          <cell r="K31">
            <v>2.145223636363637</v>
          </cell>
        </row>
        <row r="32">
          <cell r="E32">
            <v>0</v>
          </cell>
          <cell r="H32">
            <v>0</v>
          </cell>
          <cell r="K32">
            <v>0.39726363636363682</v>
          </cell>
        </row>
        <row r="33">
          <cell r="E33">
            <v>0</v>
          </cell>
          <cell r="H33">
            <v>0.15000000000000013</v>
          </cell>
          <cell r="K33">
            <v>3.0986563636363651</v>
          </cell>
        </row>
        <row r="34">
          <cell r="E34">
            <v>0</v>
          </cell>
          <cell r="H34">
            <v>1.0000000000000009E-2</v>
          </cell>
          <cell r="K34">
            <v>0.71507454545454618</v>
          </cell>
        </row>
        <row r="35">
          <cell r="E35">
            <v>0</v>
          </cell>
          <cell r="H35">
            <v>0</v>
          </cell>
          <cell r="K35">
            <v>0.4767163636363641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0</v>
          </cell>
          <cell r="K37">
            <v>0</v>
          </cell>
        </row>
        <row r="38">
          <cell r="E38">
            <v>0</v>
          </cell>
          <cell r="H38">
            <v>0</v>
          </cell>
          <cell r="K38">
            <v>0</v>
          </cell>
        </row>
        <row r="39">
          <cell r="E39">
            <v>0</v>
          </cell>
          <cell r="H39">
            <v>0.19000000000000017</v>
          </cell>
          <cell r="K39">
            <v>0</v>
          </cell>
        </row>
        <row r="40">
          <cell r="E40">
            <v>0</v>
          </cell>
          <cell r="H40">
            <v>0.10000000000000009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1.2712436363636359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7.9452727272727286E-2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0.31781090909090942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0.2200000000000002</v>
          </cell>
          <cell r="K50">
            <v>1.2712436363636377</v>
          </cell>
        </row>
      </sheetData>
      <sheetData sheetId="4" refreshError="1"/>
      <sheetData sheetId="5">
        <row r="8">
          <cell r="N8">
            <v>21.204755305071959</v>
          </cell>
        </row>
        <row r="9">
          <cell r="N9">
            <v>9.5402434159191767</v>
          </cell>
        </row>
        <row r="10">
          <cell r="N10">
            <v>6.4179952735595265</v>
          </cell>
        </row>
        <row r="11">
          <cell r="N11">
            <v>2.3709170909003316</v>
          </cell>
        </row>
        <row r="12">
          <cell r="N12">
            <v>4.4804615907116165</v>
          </cell>
        </row>
        <row r="13">
          <cell r="N13">
            <v>12.113113406682146</v>
          </cell>
        </row>
        <row r="14">
          <cell r="N14">
            <v>18.695345315664415</v>
          </cell>
        </row>
        <row r="15">
          <cell r="N15">
            <v>6.9502255549022065</v>
          </cell>
        </row>
        <row r="16">
          <cell r="N16">
            <v>6.0052034540874581</v>
          </cell>
        </row>
        <row r="17">
          <cell r="N17">
            <v>5.315198195391531</v>
          </cell>
        </row>
        <row r="18">
          <cell r="N18">
            <v>0.25093370714540036</v>
          </cell>
        </row>
        <row r="19">
          <cell r="N19">
            <v>2.0884833507067464</v>
          </cell>
        </row>
        <row r="20">
          <cell r="N20">
            <v>4.5671243392575009</v>
          </cell>
        </row>
        <row r="32">
          <cell r="N32">
            <v>1.1436441155288066</v>
          </cell>
        </row>
        <row r="33">
          <cell r="N33">
            <v>0.76622878162588326</v>
          </cell>
        </row>
        <row r="34">
          <cell r="N34">
            <v>3.3235677637702596</v>
          </cell>
        </row>
        <row r="35">
          <cell r="N35">
            <v>2.0140581289066004</v>
          </cell>
        </row>
        <row r="36">
          <cell r="N36">
            <v>2.2927446260876252</v>
          </cell>
        </row>
        <row r="37">
          <cell r="N37">
            <v>5.6745272985387611</v>
          </cell>
        </row>
        <row r="38">
          <cell r="N38">
            <v>0.66061793002478941</v>
          </cell>
        </row>
        <row r="39">
          <cell r="N39">
            <v>8.2850044995975786E-2</v>
          </cell>
        </row>
        <row r="43">
          <cell r="N43">
            <v>4.4804615907116165</v>
          </cell>
        </row>
        <row r="44">
          <cell r="N44">
            <v>4.0660257058727494</v>
          </cell>
        </row>
        <row r="45">
          <cell r="N45">
            <v>8.0470877008093957</v>
          </cell>
        </row>
        <row r="46">
          <cell r="N46">
            <v>7.8451195715781274</v>
          </cell>
        </row>
        <row r="47">
          <cell r="N47">
            <v>3.3693321223829713</v>
          </cell>
        </row>
        <row r="48">
          <cell r="N48">
            <v>2.0571603979561868</v>
          </cell>
        </row>
        <row r="49">
          <cell r="N49">
            <v>4.3612347421048456</v>
          </cell>
        </row>
        <row r="50">
          <cell r="N50">
            <v>1.0624984816422816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IVR P15 PB PAR</v>
          </cell>
        </row>
        <row r="6">
          <cell r="D6" t="str">
            <v>CN 548 PT</v>
          </cell>
        </row>
        <row r="8">
          <cell r="D8" t="str">
            <v>Ivry</v>
          </cell>
        </row>
        <row r="12">
          <cell r="B12">
            <v>42145</v>
          </cell>
          <cell r="E12">
            <v>0.3576388888888889</v>
          </cell>
        </row>
        <row r="15">
          <cell r="E15" t="str">
            <v>ensoleillé</v>
          </cell>
        </row>
        <row r="19">
          <cell r="G19">
            <v>124.64</v>
          </cell>
        </row>
        <row r="26">
          <cell r="H26">
            <v>0.55000000000000004</v>
          </cell>
        </row>
        <row r="51">
          <cell r="D51">
            <v>0.40085847240051342</v>
          </cell>
        </row>
      </sheetData>
      <sheetData sheetId="1" refreshError="1"/>
      <sheetData sheetId="2">
        <row r="27">
          <cell r="C27">
            <v>3.58</v>
          </cell>
          <cell r="D27">
            <v>4.0200000000000005</v>
          </cell>
        </row>
      </sheetData>
      <sheetData sheetId="3">
        <row r="5">
          <cell r="E5">
            <v>0</v>
          </cell>
          <cell r="H5">
            <v>0.5900000000000003</v>
          </cell>
          <cell r="K5">
            <v>1.9975609756097561</v>
          </cell>
        </row>
        <row r="6">
          <cell r="E6">
            <v>0</v>
          </cell>
          <cell r="H6">
            <v>0.69</v>
          </cell>
          <cell r="K6">
            <v>2.5894308943089435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9.000000000000008E-2</v>
          </cell>
          <cell r="K8">
            <v>0</v>
          </cell>
        </row>
        <row r="9">
          <cell r="E9">
            <v>0</v>
          </cell>
          <cell r="H9">
            <v>1.0000000000000009E-2</v>
          </cell>
          <cell r="K9">
            <v>0</v>
          </cell>
        </row>
        <row r="10">
          <cell r="E10">
            <v>0.08</v>
          </cell>
          <cell r="H10">
            <v>0.69</v>
          </cell>
          <cell r="K10">
            <v>1.4056910569105703</v>
          </cell>
        </row>
        <row r="11">
          <cell r="E11">
            <v>0</v>
          </cell>
          <cell r="H11">
            <v>2.0900000000000003</v>
          </cell>
          <cell r="K11">
            <v>7.3983739837398435E-2</v>
          </cell>
        </row>
        <row r="12">
          <cell r="E12">
            <v>0</v>
          </cell>
          <cell r="H12">
            <v>0.79</v>
          </cell>
          <cell r="K12">
            <v>0.36991869918699222</v>
          </cell>
        </row>
        <row r="13">
          <cell r="E13">
            <v>0</v>
          </cell>
          <cell r="H13">
            <v>0.91000000000000014</v>
          </cell>
          <cell r="K13">
            <v>0.8138211382113828</v>
          </cell>
        </row>
        <row r="14">
          <cell r="E14">
            <v>0</v>
          </cell>
          <cell r="H14">
            <v>1.0300000000000002</v>
          </cell>
          <cell r="K14">
            <v>0.36991869918699222</v>
          </cell>
        </row>
        <row r="15">
          <cell r="E15">
            <v>0</v>
          </cell>
          <cell r="H15">
            <v>2.7600000000000002</v>
          </cell>
          <cell r="K15">
            <v>2.1455284552845533</v>
          </cell>
        </row>
        <row r="16">
          <cell r="E16">
            <v>0.32</v>
          </cell>
          <cell r="H16">
            <v>1.5900000000000003</v>
          </cell>
          <cell r="K16">
            <v>7.3983739837398435E-2</v>
          </cell>
        </row>
        <row r="17">
          <cell r="E17">
            <v>0</v>
          </cell>
          <cell r="H17">
            <v>0</v>
          </cell>
          <cell r="K17">
            <v>0</v>
          </cell>
        </row>
        <row r="18">
          <cell r="E18">
            <v>0</v>
          </cell>
          <cell r="H18">
            <v>0.39800000000000008</v>
          </cell>
          <cell r="K18">
            <v>0.51788617886178911</v>
          </cell>
        </row>
        <row r="19">
          <cell r="E19">
            <v>0</v>
          </cell>
          <cell r="H19">
            <v>0.13000000000000012</v>
          </cell>
          <cell r="K19">
            <v>0.36991869918699222</v>
          </cell>
        </row>
        <row r="20">
          <cell r="E20">
            <v>0</v>
          </cell>
          <cell r="H20">
            <v>0</v>
          </cell>
          <cell r="K20">
            <v>0.22195121951219532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0</v>
          </cell>
          <cell r="H22">
            <v>0.99000000000000021</v>
          </cell>
          <cell r="K22">
            <v>0.36991869918699222</v>
          </cell>
        </row>
        <row r="23">
          <cell r="E23">
            <v>0</v>
          </cell>
          <cell r="H23">
            <v>0.85000000000000009</v>
          </cell>
          <cell r="K23">
            <v>0.96178861788617964</v>
          </cell>
        </row>
        <row r="24">
          <cell r="E24">
            <v>0</v>
          </cell>
          <cell r="H24">
            <v>0.83000000000000007</v>
          </cell>
          <cell r="K24">
            <v>5.8447154471544716</v>
          </cell>
        </row>
        <row r="25">
          <cell r="E25">
            <v>0</v>
          </cell>
          <cell r="H25">
            <v>5.1899999999999995</v>
          </cell>
          <cell r="K25">
            <v>1.8495934959349594</v>
          </cell>
        </row>
        <row r="26">
          <cell r="E26">
            <v>0</v>
          </cell>
          <cell r="H26">
            <v>1.7800000000000002</v>
          </cell>
          <cell r="K26">
            <v>0.8138211382113828</v>
          </cell>
        </row>
        <row r="27">
          <cell r="E27">
            <v>0</v>
          </cell>
          <cell r="H27">
            <v>0.41000000000000014</v>
          </cell>
          <cell r="K27">
            <v>0.36991869918699222</v>
          </cell>
        </row>
        <row r="28">
          <cell r="E28">
            <v>0</v>
          </cell>
          <cell r="H28">
            <v>1.3200000000000003</v>
          </cell>
          <cell r="K28">
            <v>2.5894308943089435</v>
          </cell>
        </row>
        <row r="29">
          <cell r="E29">
            <v>0.06</v>
          </cell>
          <cell r="H29">
            <v>0.5900000000000003</v>
          </cell>
          <cell r="K29">
            <v>1.7016260162601626</v>
          </cell>
        </row>
        <row r="30">
          <cell r="E30">
            <v>0</v>
          </cell>
          <cell r="H30">
            <v>1.6099999999999999</v>
          </cell>
          <cell r="K30">
            <v>0.51788617886178911</v>
          </cell>
        </row>
        <row r="31">
          <cell r="E31">
            <v>0</v>
          </cell>
          <cell r="H31">
            <v>1.5500000000000003</v>
          </cell>
          <cell r="K31">
            <v>1.9975609756097561</v>
          </cell>
        </row>
        <row r="32">
          <cell r="E32">
            <v>0</v>
          </cell>
          <cell r="H32">
            <v>0.43000000000000016</v>
          </cell>
          <cell r="K32">
            <v>2.5894308943089435</v>
          </cell>
        </row>
        <row r="33">
          <cell r="E33">
            <v>0</v>
          </cell>
          <cell r="H33">
            <v>1.0900000000000003</v>
          </cell>
          <cell r="K33">
            <v>0.36991869918699222</v>
          </cell>
        </row>
        <row r="34">
          <cell r="E34">
            <v>0</v>
          </cell>
          <cell r="H34">
            <v>3.0000000000000027E-2</v>
          </cell>
          <cell r="K34">
            <v>0.8138211382113828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0.29593495934959374</v>
          </cell>
        </row>
        <row r="37">
          <cell r="E37">
            <v>0</v>
          </cell>
          <cell r="H37">
            <v>0.25</v>
          </cell>
          <cell r="K37">
            <v>0</v>
          </cell>
        </row>
        <row r="38">
          <cell r="E38">
            <v>0</v>
          </cell>
          <cell r="H38">
            <v>0.5900000000000003</v>
          </cell>
          <cell r="K38">
            <v>0</v>
          </cell>
        </row>
        <row r="39">
          <cell r="E39">
            <v>0</v>
          </cell>
          <cell r="H39">
            <v>0.37000000000000011</v>
          </cell>
          <cell r="K39">
            <v>3.329268292682928</v>
          </cell>
        </row>
        <row r="40">
          <cell r="E40">
            <v>0</v>
          </cell>
          <cell r="H40">
            <v>0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0.29593495934959374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0.45999999999999996</v>
          </cell>
          <cell r="K50">
            <v>1.7756097560975626</v>
          </cell>
        </row>
      </sheetData>
      <sheetData sheetId="4" refreshError="1"/>
      <sheetData sheetId="5">
        <row r="8">
          <cell r="N8">
            <v>17.54118526741853</v>
          </cell>
        </row>
        <row r="9">
          <cell r="N9">
            <v>10.372786498144217</v>
          </cell>
        </row>
        <row r="10">
          <cell r="N10">
            <v>8.2883580402690669</v>
          </cell>
        </row>
        <row r="11">
          <cell r="N11">
            <v>2.4797231596587173</v>
          </cell>
        </row>
        <row r="12">
          <cell r="N12">
            <v>1.6345055311315146</v>
          </cell>
        </row>
        <row r="13">
          <cell r="N13">
            <v>10.496873330481089</v>
          </cell>
        </row>
        <row r="14">
          <cell r="N14">
            <v>22.611986751277765</v>
          </cell>
        </row>
        <row r="15">
          <cell r="N15">
            <v>2.6118326220965038</v>
          </cell>
        </row>
        <row r="16">
          <cell r="N16">
            <v>7.8828785666912289</v>
          </cell>
        </row>
        <row r="17">
          <cell r="N17">
            <v>4.2635398609429851</v>
          </cell>
        </row>
        <row r="18">
          <cell r="N18">
            <v>5.070608977417276</v>
          </cell>
        </row>
        <row r="19">
          <cell r="N19">
            <v>0.36273073974652159</v>
          </cell>
        </row>
        <row r="20">
          <cell r="N20">
            <v>6.3829906547245692</v>
          </cell>
        </row>
        <row r="32">
          <cell r="N32">
            <v>2.6661748889675705</v>
          </cell>
        </row>
        <row r="33">
          <cell r="N33">
            <v>2.5623678944832919</v>
          </cell>
        </row>
        <row r="34">
          <cell r="N34">
            <v>1.3734569166545112</v>
          </cell>
        </row>
        <row r="35">
          <cell r="N35">
            <v>2.0612644913490681</v>
          </cell>
        </row>
        <row r="36">
          <cell r="N36">
            <v>1.709522306689774</v>
          </cell>
        </row>
        <row r="37">
          <cell r="N37">
            <v>5.8998617248105951</v>
          </cell>
        </row>
        <row r="38">
          <cell r="N38">
            <v>2.3884963154584731</v>
          </cell>
        </row>
        <row r="39">
          <cell r="N39">
            <v>0</v>
          </cell>
        </row>
        <row r="43">
          <cell r="N43">
            <v>1.6345055311315146</v>
          </cell>
        </row>
        <row r="44">
          <cell r="N44">
            <v>2.2697914385538076</v>
          </cell>
        </row>
        <row r="45">
          <cell r="N45">
            <v>8.2270818919272823</v>
          </cell>
        </row>
        <row r="46">
          <cell r="N46">
            <v>9.7585723300604794</v>
          </cell>
        </row>
        <row r="47">
          <cell r="N47">
            <v>3.2131625079982706</v>
          </cell>
        </row>
        <row r="48">
          <cell r="N48">
            <v>0.96595250202684779</v>
          </cell>
        </row>
        <row r="49">
          <cell r="N49">
            <v>5.4160103454709905</v>
          </cell>
        </row>
        <row r="50">
          <cell r="N50">
            <v>3.25828906572118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ROM P15 PB BAN</v>
          </cell>
        </row>
        <row r="6">
          <cell r="D6" t="str">
            <v>Le bourget DG 293 HT</v>
          </cell>
        </row>
        <row r="8">
          <cell r="D8" t="str">
            <v>Romainville</v>
          </cell>
        </row>
        <row r="12">
          <cell r="B12">
            <v>42144</v>
          </cell>
          <cell r="E12">
            <v>0.38541666666666669</v>
          </cell>
        </row>
        <row r="15">
          <cell r="E15" t="str">
            <v>sec et ensoleillé</v>
          </cell>
        </row>
        <row r="19">
          <cell r="G19">
            <v>125.29999999999998</v>
          </cell>
        </row>
        <row r="26">
          <cell r="H26">
            <v>0.6</v>
          </cell>
        </row>
        <row r="51">
          <cell r="D51">
            <v>0.4179569034317635</v>
          </cell>
        </row>
      </sheetData>
      <sheetData sheetId="1" refreshError="1"/>
      <sheetData sheetId="2">
        <row r="27">
          <cell r="C27">
            <v>2.7199999999999998</v>
          </cell>
          <cell r="D27">
            <v>3.1000000000000005</v>
          </cell>
        </row>
      </sheetData>
      <sheetData sheetId="3">
        <row r="5">
          <cell r="E5">
            <v>0</v>
          </cell>
          <cell r="H5">
            <v>0.37000000000000011</v>
          </cell>
          <cell r="K5">
            <v>4.571616541353384</v>
          </cell>
        </row>
        <row r="6">
          <cell r="E6">
            <v>0</v>
          </cell>
          <cell r="H6">
            <v>0.91000000000000014</v>
          </cell>
          <cell r="K6">
            <v>4.571616541353384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3.0000000000000027E-2</v>
          </cell>
          <cell r="K8">
            <v>0.20469924812030096</v>
          </cell>
        </row>
        <row r="9">
          <cell r="E9">
            <v>0</v>
          </cell>
          <cell r="H9">
            <v>0</v>
          </cell>
          <cell r="K9">
            <v>0</v>
          </cell>
        </row>
        <row r="10">
          <cell r="E10">
            <v>0</v>
          </cell>
          <cell r="H10">
            <v>1.52</v>
          </cell>
          <cell r="K10">
            <v>0.47763157894736896</v>
          </cell>
        </row>
        <row r="11">
          <cell r="E11">
            <v>0</v>
          </cell>
          <cell r="H11">
            <v>1.9300000000000002</v>
          </cell>
          <cell r="K11">
            <v>6.8233082706766993E-2</v>
          </cell>
        </row>
        <row r="12">
          <cell r="E12">
            <v>0</v>
          </cell>
          <cell r="H12">
            <v>0.55000000000000027</v>
          </cell>
          <cell r="K12">
            <v>0.20469924812030096</v>
          </cell>
        </row>
        <row r="13">
          <cell r="E13">
            <v>0</v>
          </cell>
          <cell r="H13">
            <v>7.0000000000000062E-2</v>
          </cell>
          <cell r="K13">
            <v>6.8233082706766993E-2</v>
          </cell>
        </row>
        <row r="14">
          <cell r="E14">
            <v>3.8200000000000003</v>
          </cell>
          <cell r="H14">
            <v>0.29000000000000004</v>
          </cell>
          <cell r="K14">
            <v>0.61409774436090303</v>
          </cell>
        </row>
        <row r="15">
          <cell r="E15">
            <v>0</v>
          </cell>
          <cell r="H15">
            <v>1.9200000000000004</v>
          </cell>
          <cell r="K15">
            <v>1.0234962406015049</v>
          </cell>
        </row>
        <row r="16">
          <cell r="E16">
            <v>1.06</v>
          </cell>
          <cell r="H16">
            <v>1.21</v>
          </cell>
          <cell r="K16">
            <v>0</v>
          </cell>
        </row>
        <row r="17">
          <cell r="E17">
            <v>0</v>
          </cell>
          <cell r="H17">
            <v>0</v>
          </cell>
          <cell r="K17">
            <v>0.20469924812030096</v>
          </cell>
        </row>
        <row r="18">
          <cell r="E18">
            <v>0</v>
          </cell>
          <cell r="H18">
            <v>0.69</v>
          </cell>
          <cell r="K18">
            <v>0.34116541353383495</v>
          </cell>
        </row>
        <row r="19">
          <cell r="E19">
            <v>0</v>
          </cell>
          <cell r="H19">
            <v>0.1100000000000001</v>
          </cell>
          <cell r="K19">
            <v>0.61409774436090303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5.0000000000000044E-2</v>
          </cell>
          <cell r="K21">
            <v>0</v>
          </cell>
        </row>
        <row r="22">
          <cell r="E22">
            <v>0</v>
          </cell>
          <cell r="H22">
            <v>1.4900000000000002</v>
          </cell>
          <cell r="K22">
            <v>1.7058270676691734</v>
          </cell>
        </row>
        <row r="23">
          <cell r="E23">
            <v>0</v>
          </cell>
          <cell r="H23">
            <v>0.19000000000000017</v>
          </cell>
          <cell r="K23">
            <v>1.9787593984962413</v>
          </cell>
        </row>
        <row r="24">
          <cell r="E24">
            <v>0</v>
          </cell>
          <cell r="H24">
            <v>0.45000000000000018</v>
          </cell>
          <cell r="K24">
            <v>4.2986842105263161</v>
          </cell>
        </row>
        <row r="25">
          <cell r="E25">
            <v>0</v>
          </cell>
          <cell r="H25">
            <v>3.47</v>
          </cell>
          <cell r="K25">
            <v>1.1599624060150389</v>
          </cell>
        </row>
        <row r="26">
          <cell r="E26">
            <v>0</v>
          </cell>
          <cell r="H26">
            <v>1.3199999999999998</v>
          </cell>
          <cell r="K26">
            <v>0.61409774436090303</v>
          </cell>
        </row>
        <row r="27">
          <cell r="E27">
            <v>0</v>
          </cell>
          <cell r="H27">
            <v>0.49000000000000021</v>
          </cell>
          <cell r="K27">
            <v>0.47763157894736896</v>
          </cell>
        </row>
        <row r="28">
          <cell r="E28">
            <v>0</v>
          </cell>
          <cell r="H28">
            <v>1.1700000000000008</v>
          </cell>
          <cell r="K28">
            <v>1.1599624060150389</v>
          </cell>
        </row>
        <row r="29">
          <cell r="E29">
            <v>0</v>
          </cell>
          <cell r="H29">
            <v>0</v>
          </cell>
          <cell r="K29">
            <v>0.20469924812030096</v>
          </cell>
        </row>
        <row r="30">
          <cell r="E30">
            <v>0</v>
          </cell>
          <cell r="H30">
            <v>1.67</v>
          </cell>
          <cell r="K30">
            <v>1.296428571428573</v>
          </cell>
        </row>
        <row r="31">
          <cell r="E31">
            <v>0</v>
          </cell>
          <cell r="H31">
            <v>2.0900000000000003</v>
          </cell>
          <cell r="K31">
            <v>2.3881578947368434</v>
          </cell>
        </row>
        <row r="32">
          <cell r="E32">
            <v>0</v>
          </cell>
          <cell r="H32">
            <v>0</v>
          </cell>
          <cell r="K32">
            <v>0.75056390977443688</v>
          </cell>
        </row>
        <row r="33">
          <cell r="E33">
            <v>0</v>
          </cell>
          <cell r="H33">
            <v>1.0500000000000003</v>
          </cell>
          <cell r="K33">
            <v>1.9787593984962413</v>
          </cell>
        </row>
        <row r="34">
          <cell r="E34">
            <v>0</v>
          </cell>
          <cell r="H34">
            <v>7.0000000000000062E-2</v>
          </cell>
          <cell r="K34">
            <v>0.20469924812030096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0.31000000000000005</v>
          </cell>
          <cell r="K37">
            <v>0.34116541353383495</v>
          </cell>
        </row>
        <row r="38">
          <cell r="E38">
            <v>0</v>
          </cell>
          <cell r="H38">
            <v>0</v>
          </cell>
          <cell r="K38">
            <v>0.20469924812030096</v>
          </cell>
        </row>
        <row r="39">
          <cell r="E39">
            <v>0</v>
          </cell>
          <cell r="H39">
            <v>1.77</v>
          </cell>
          <cell r="K39">
            <v>3.2069548872180476</v>
          </cell>
        </row>
        <row r="40">
          <cell r="E40">
            <v>0</v>
          </cell>
          <cell r="H40">
            <v>0.10000000000000009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0.54586466165413594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3.4116541353384253E-2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0.43999999999999995</v>
          </cell>
          <cell r="K50">
            <v>1.3646616541353398</v>
          </cell>
        </row>
      </sheetData>
      <sheetData sheetId="4" refreshError="1"/>
      <sheetData sheetId="5">
        <row r="8">
          <cell r="N8">
            <v>29.443661882704298</v>
          </cell>
        </row>
        <row r="9">
          <cell r="N9">
            <v>10.876510001299364</v>
          </cell>
        </row>
        <row r="10">
          <cell r="N10">
            <v>6.1311607458771356</v>
          </cell>
        </row>
        <row r="11">
          <cell r="N11">
            <v>2.5712892682354016</v>
          </cell>
        </row>
        <row r="12">
          <cell r="N12">
            <v>3.6133755959963536</v>
          </cell>
        </row>
        <row r="13">
          <cell r="N13">
            <v>8.04134372811059</v>
          </cell>
        </row>
        <row r="14">
          <cell r="N14">
            <v>12.841046358544048</v>
          </cell>
        </row>
        <row r="15">
          <cell r="N15">
            <v>3.4251394541989004</v>
          </cell>
        </row>
        <row r="16">
          <cell r="N16">
            <v>5.9052243778913658</v>
          </cell>
        </row>
        <row r="17">
          <cell r="N17">
            <v>4.8502429740135549</v>
          </cell>
        </row>
        <row r="18">
          <cell r="N18">
            <v>6.4179741168242508</v>
          </cell>
        </row>
        <row r="19">
          <cell r="N19">
            <v>0.78416044670609664</v>
          </cell>
        </row>
        <row r="20">
          <cell r="N20">
            <v>5.0988710495986336</v>
          </cell>
        </row>
        <row r="32">
          <cell r="N32">
            <v>2.2868795228833103</v>
          </cell>
        </row>
        <row r="33">
          <cell r="N33">
            <v>2.2105795288269374</v>
          </cell>
        </row>
        <row r="34">
          <cell r="N34">
            <v>0.83489895285686211</v>
          </cell>
        </row>
        <row r="35">
          <cell r="N35">
            <v>0.15442982509847455</v>
          </cell>
        </row>
        <row r="36">
          <cell r="N36">
            <v>5.3897221716337791</v>
          </cell>
        </row>
        <row r="37">
          <cell r="N37">
            <v>3.326802413025324</v>
          </cell>
        </row>
        <row r="38">
          <cell r="N38">
            <v>2.5680811852795613</v>
          </cell>
        </row>
        <row r="39">
          <cell r="N39">
            <v>0.23627714757225038</v>
          </cell>
        </row>
        <row r="43">
          <cell r="N43">
            <v>3.6133755959963536</v>
          </cell>
        </row>
        <row r="44">
          <cell r="N44">
            <v>2.5486464105265383</v>
          </cell>
        </row>
        <row r="45">
          <cell r="N45">
            <v>5.4926973175840512</v>
          </cell>
        </row>
        <row r="46">
          <cell r="N46">
            <v>6.0940105563599278</v>
          </cell>
        </row>
        <row r="47">
          <cell r="N47">
            <v>2.2749510306038214</v>
          </cell>
        </row>
        <row r="48">
          <cell r="N48">
            <v>1.137940780863089</v>
          </cell>
        </row>
        <row r="49">
          <cell r="N49">
            <v>3.0648477886768548</v>
          </cell>
        </row>
        <row r="50">
          <cell r="N50">
            <v>0.26929620204035443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ROM P15 PB PAR</v>
          </cell>
        </row>
        <row r="6">
          <cell r="D6" t="str">
            <v>901 QJQ 75 20è</v>
          </cell>
        </row>
        <row r="8">
          <cell r="D8" t="str">
            <v>Romainville</v>
          </cell>
        </row>
        <row r="12">
          <cell r="B12">
            <v>42144</v>
          </cell>
          <cell r="E12">
            <v>0.32291666666666669</v>
          </cell>
        </row>
        <row r="15">
          <cell r="E15" t="str">
            <v>ensoleillé et nuageux</v>
          </cell>
        </row>
        <row r="19">
          <cell r="G19">
            <v>125.17999999999999</v>
          </cell>
        </row>
        <row r="26">
          <cell r="H26">
            <v>0.45</v>
          </cell>
        </row>
        <row r="51">
          <cell r="D51">
            <v>0.37450071896469084</v>
          </cell>
        </row>
      </sheetData>
      <sheetData sheetId="1" refreshError="1"/>
      <sheetData sheetId="2">
        <row r="27">
          <cell r="C27">
            <v>3.5200000000000005</v>
          </cell>
          <cell r="D27">
            <v>3.7</v>
          </cell>
        </row>
      </sheetData>
      <sheetData sheetId="3">
        <row r="5">
          <cell r="E5">
            <v>0</v>
          </cell>
          <cell r="H5">
            <v>0.57000000000000028</v>
          </cell>
          <cell r="K5">
            <v>2.5349420849420863</v>
          </cell>
        </row>
        <row r="6">
          <cell r="E6">
            <v>17.32</v>
          </cell>
          <cell r="H6">
            <v>0.19000000000000017</v>
          </cell>
          <cell r="K6">
            <v>2.3096138996139004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0</v>
          </cell>
          <cell r="K8">
            <v>5.6332046332046387E-2</v>
          </cell>
        </row>
        <row r="9">
          <cell r="E9">
            <v>0</v>
          </cell>
          <cell r="H9">
            <v>0</v>
          </cell>
          <cell r="K9">
            <v>5.6332046332046387E-2</v>
          </cell>
        </row>
        <row r="10">
          <cell r="E10">
            <v>0</v>
          </cell>
          <cell r="H10">
            <v>2.6999999999999997</v>
          </cell>
          <cell r="K10">
            <v>0.95764478764478866</v>
          </cell>
        </row>
        <row r="11">
          <cell r="E11">
            <v>0</v>
          </cell>
          <cell r="H11">
            <v>1.4500000000000002</v>
          </cell>
          <cell r="K11">
            <v>0.50698841698841746</v>
          </cell>
        </row>
        <row r="12">
          <cell r="E12">
            <v>0</v>
          </cell>
          <cell r="H12">
            <v>0.25</v>
          </cell>
          <cell r="K12">
            <v>0.50698841698841746</v>
          </cell>
        </row>
        <row r="13">
          <cell r="E13">
            <v>0</v>
          </cell>
          <cell r="H13">
            <v>9.000000000000008E-2</v>
          </cell>
          <cell r="K13">
            <v>0.16899613899613913</v>
          </cell>
        </row>
        <row r="14">
          <cell r="E14">
            <v>0</v>
          </cell>
          <cell r="H14">
            <v>3.0000000000000027E-2</v>
          </cell>
          <cell r="K14">
            <v>0.50698841698841746</v>
          </cell>
        </row>
        <row r="15">
          <cell r="E15">
            <v>0</v>
          </cell>
          <cell r="H15">
            <v>1.5</v>
          </cell>
          <cell r="K15">
            <v>0.95764478764478866</v>
          </cell>
        </row>
        <row r="16">
          <cell r="E16">
            <v>1.2</v>
          </cell>
          <cell r="H16">
            <v>1.7400000000000002</v>
          </cell>
          <cell r="K16">
            <v>5.6332046332046387E-2</v>
          </cell>
        </row>
        <row r="17">
          <cell r="E17">
            <v>0</v>
          </cell>
          <cell r="H17">
            <v>0.13000000000000012</v>
          </cell>
          <cell r="K17">
            <v>5.6332046332046387E-2</v>
          </cell>
        </row>
        <row r="18">
          <cell r="E18">
            <v>0</v>
          </cell>
          <cell r="H18">
            <v>0.41000000000000014</v>
          </cell>
          <cell r="K18">
            <v>0.16899613899613913</v>
          </cell>
        </row>
        <row r="19">
          <cell r="E19">
            <v>0</v>
          </cell>
          <cell r="H19">
            <v>0.51500000000000035</v>
          </cell>
          <cell r="K19">
            <v>0.28166023166023191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0</v>
          </cell>
          <cell r="H22">
            <v>1.17</v>
          </cell>
          <cell r="K22">
            <v>1.2956370656370655</v>
          </cell>
        </row>
        <row r="23">
          <cell r="E23">
            <v>0</v>
          </cell>
          <cell r="H23">
            <v>0.41000000000000014</v>
          </cell>
          <cell r="K23">
            <v>2.6476061776061788</v>
          </cell>
        </row>
        <row r="24">
          <cell r="E24">
            <v>0</v>
          </cell>
          <cell r="H24">
            <v>3.0000000000000027E-2</v>
          </cell>
          <cell r="K24">
            <v>1.0703088803088812</v>
          </cell>
        </row>
        <row r="25">
          <cell r="E25">
            <v>0</v>
          </cell>
          <cell r="H25">
            <v>3.35</v>
          </cell>
          <cell r="K25">
            <v>1.1829729729729741</v>
          </cell>
        </row>
        <row r="26">
          <cell r="E26">
            <v>0</v>
          </cell>
          <cell r="H26">
            <v>0.92000000000000037</v>
          </cell>
          <cell r="K26">
            <v>0.28166023166023191</v>
          </cell>
        </row>
        <row r="27">
          <cell r="E27">
            <v>0</v>
          </cell>
          <cell r="H27">
            <v>0.60999999999999988</v>
          </cell>
          <cell r="K27">
            <v>0.28166023166023191</v>
          </cell>
        </row>
        <row r="28">
          <cell r="E28">
            <v>0</v>
          </cell>
          <cell r="H28">
            <v>1.0500000000000003</v>
          </cell>
          <cell r="K28">
            <v>0.732316602316603</v>
          </cell>
        </row>
        <row r="29">
          <cell r="E29">
            <v>0</v>
          </cell>
          <cell r="H29">
            <v>0.43000000000000016</v>
          </cell>
          <cell r="K29">
            <v>0.732316602316603</v>
          </cell>
        </row>
        <row r="30">
          <cell r="E30">
            <v>0</v>
          </cell>
          <cell r="H30">
            <v>1.33</v>
          </cell>
          <cell r="K30">
            <v>1.7462934362934368</v>
          </cell>
        </row>
        <row r="31">
          <cell r="E31">
            <v>0</v>
          </cell>
          <cell r="H31">
            <v>1.5500000000000003</v>
          </cell>
          <cell r="K31">
            <v>1.1829729729729741</v>
          </cell>
        </row>
        <row r="32">
          <cell r="E32">
            <v>0</v>
          </cell>
          <cell r="H32">
            <v>3.0000000000000027E-2</v>
          </cell>
          <cell r="K32">
            <v>4.562895752895753</v>
          </cell>
        </row>
        <row r="33">
          <cell r="E33">
            <v>0</v>
          </cell>
          <cell r="H33">
            <v>1.4100000000000001</v>
          </cell>
          <cell r="K33">
            <v>0.84498069498069583</v>
          </cell>
        </row>
        <row r="34">
          <cell r="E34">
            <v>0</v>
          </cell>
          <cell r="H34">
            <v>3.0000000000000027E-2</v>
          </cell>
          <cell r="K34">
            <v>0.61965250965251018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0</v>
          </cell>
          <cell r="K37">
            <v>2.8166023166023815E-2</v>
          </cell>
        </row>
        <row r="38">
          <cell r="E38">
            <v>0</v>
          </cell>
          <cell r="H38">
            <v>1.0000000000000009E-2</v>
          </cell>
          <cell r="K38">
            <v>0</v>
          </cell>
        </row>
        <row r="39">
          <cell r="E39">
            <v>0</v>
          </cell>
          <cell r="H39">
            <v>1.17</v>
          </cell>
          <cell r="K39">
            <v>0.61965250965251018</v>
          </cell>
        </row>
        <row r="40">
          <cell r="E40">
            <v>0</v>
          </cell>
          <cell r="H40">
            <v>0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0.11266409266409277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0.5</v>
          </cell>
          <cell r="K50">
            <v>1.6899613899613917</v>
          </cell>
        </row>
      </sheetData>
      <sheetData sheetId="4" refreshError="1"/>
      <sheetData sheetId="5">
        <row r="8">
          <cell r="N8">
            <v>50.863335052210026</v>
          </cell>
        </row>
        <row r="9">
          <cell r="N9">
            <v>6.4956277543880843</v>
          </cell>
        </row>
        <row r="10">
          <cell r="N10">
            <v>5.1119378403398352</v>
          </cell>
        </row>
        <row r="11">
          <cell r="N11">
            <v>1.5697505741409492</v>
          </cell>
        </row>
        <row r="12">
          <cell r="N12">
            <v>2.2334133994287488</v>
          </cell>
        </row>
        <row r="13">
          <cell r="N13">
            <v>3.8636865139158512</v>
          </cell>
        </row>
        <row r="14">
          <cell r="N14">
            <v>9.7802962865692589</v>
          </cell>
        </row>
        <row r="15">
          <cell r="N15">
            <v>2.8455147455779382</v>
          </cell>
        </row>
        <row r="16">
          <cell r="N16">
            <v>6.6308298649428812</v>
          </cell>
        </row>
        <row r="17">
          <cell r="N17">
            <v>2.749708807273167</v>
          </cell>
        </row>
        <row r="18">
          <cell r="N18">
            <v>1.8492397619960492</v>
          </cell>
        </row>
        <row r="19">
          <cell r="N19">
            <v>0.10412506652248937</v>
          </cell>
        </row>
        <row r="20">
          <cell r="N20">
            <v>5.9025343326947333</v>
          </cell>
        </row>
        <row r="32">
          <cell r="N32">
            <v>3.3600965460462802</v>
          </cell>
        </row>
        <row r="33">
          <cell r="N33">
            <v>1.7386009185773184</v>
          </cell>
        </row>
        <row r="34">
          <cell r="N34">
            <v>0.67251330958503175</v>
          </cell>
        </row>
        <row r="35">
          <cell r="N35">
            <v>0.23238669429482411</v>
          </cell>
        </row>
        <row r="36">
          <cell r="N36">
            <v>0.49203028588463066</v>
          </cell>
        </row>
        <row r="37">
          <cell r="N37">
            <v>2.2249921402652575</v>
          </cell>
        </row>
        <row r="38">
          <cell r="N38">
            <v>2.7146730882596595</v>
          </cell>
        </row>
        <row r="39">
          <cell r="N39">
            <v>0.17227261181491743</v>
          </cell>
        </row>
        <row r="43">
          <cell r="N43">
            <v>2.2334133994287488</v>
          </cell>
        </row>
        <row r="44">
          <cell r="N44">
            <v>2.8502847336400694</v>
          </cell>
        </row>
        <row r="45">
          <cell r="N45">
            <v>1.013401780275782</v>
          </cell>
        </row>
        <row r="46">
          <cell r="N46">
            <v>4.7428639178968544</v>
          </cell>
        </row>
        <row r="47">
          <cell r="N47">
            <v>1.1239175657417684</v>
          </cell>
        </row>
        <row r="48">
          <cell r="N48">
            <v>0.8338510014005599</v>
          </cell>
        </row>
        <row r="49">
          <cell r="N49">
            <v>1.8639780384780837</v>
          </cell>
        </row>
        <row r="50">
          <cell r="N50">
            <v>1.2156857630519928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STO-P15-PB-BAN</v>
          </cell>
        </row>
        <row r="6">
          <cell r="D6" t="str">
            <v>CP-053-LS - Neuilly sur Seine Voies étroites</v>
          </cell>
        </row>
        <row r="8">
          <cell r="D8" t="str">
            <v>SAINT OUEN</v>
          </cell>
        </row>
        <row r="12">
          <cell r="B12">
            <v>42159</v>
          </cell>
          <cell r="E12" t="str">
            <v>9h35</v>
          </cell>
        </row>
        <row r="15">
          <cell r="E15" t="str">
            <v>sec, ensoleillé</v>
          </cell>
        </row>
        <row r="19">
          <cell r="G19">
            <v>124.14000000000001</v>
          </cell>
        </row>
        <row r="26">
          <cell r="H26">
            <v>0.5</v>
          </cell>
        </row>
        <row r="51">
          <cell r="D51">
            <v>0.33906879329788941</v>
          </cell>
        </row>
      </sheetData>
      <sheetData sheetId="1" refreshError="1"/>
      <sheetData sheetId="2">
        <row r="27">
          <cell r="C27">
            <v>1.9000000000000004</v>
          </cell>
          <cell r="D27">
            <v>3.2199999999999998</v>
          </cell>
        </row>
      </sheetData>
      <sheetData sheetId="3">
        <row r="5">
          <cell r="E5">
            <v>0</v>
          </cell>
          <cell r="H5">
            <v>3.0000000000000027E-2</v>
          </cell>
          <cell r="K5">
            <v>4.1113688212927775</v>
          </cell>
        </row>
        <row r="6">
          <cell r="E6">
            <v>0</v>
          </cell>
          <cell r="H6">
            <v>1.0500000000000003</v>
          </cell>
          <cell r="K6">
            <v>1.2261977186311797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0.25</v>
          </cell>
          <cell r="K8">
            <v>0.14425855513307997</v>
          </cell>
        </row>
        <row r="9">
          <cell r="E9">
            <v>0</v>
          </cell>
          <cell r="H9">
            <v>0</v>
          </cell>
          <cell r="K9">
            <v>0</v>
          </cell>
        </row>
        <row r="10">
          <cell r="E10">
            <v>0</v>
          </cell>
          <cell r="H10">
            <v>0.89000000000000012</v>
          </cell>
          <cell r="K10">
            <v>0.93768060836501987</v>
          </cell>
        </row>
        <row r="11">
          <cell r="E11">
            <v>0</v>
          </cell>
          <cell r="H11">
            <v>6.15</v>
          </cell>
          <cell r="K11">
            <v>0.36064638783269992</v>
          </cell>
        </row>
        <row r="12">
          <cell r="E12">
            <v>0</v>
          </cell>
          <cell r="H12">
            <v>0.4700000000000002</v>
          </cell>
          <cell r="K12">
            <v>0</v>
          </cell>
        </row>
        <row r="13">
          <cell r="E13">
            <v>0</v>
          </cell>
          <cell r="H13">
            <v>4.09</v>
          </cell>
          <cell r="K13">
            <v>2.8130418250950577</v>
          </cell>
        </row>
        <row r="14">
          <cell r="E14">
            <v>0</v>
          </cell>
          <cell r="H14">
            <v>0.41000000000000014</v>
          </cell>
          <cell r="K14">
            <v>0.64916349809885987</v>
          </cell>
        </row>
        <row r="15">
          <cell r="E15">
            <v>0</v>
          </cell>
          <cell r="H15">
            <v>2.3800000000000003</v>
          </cell>
          <cell r="K15">
            <v>2.0917490494296582</v>
          </cell>
        </row>
        <row r="16">
          <cell r="E16">
            <v>2.2000000000000002</v>
          </cell>
          <cell r="H16">
            <v>1.7400000000000002</v>
          </cell>
          <cell r="K16">
            <v>0</v>
          </cell>
        </row>
        <row r="17">
          <cell r="E17">
            <v>0</v>
          </cell>
          <cell r="H17">
            <v>0.51000000000000023</v>
          </cell>
          <cell r="K17">
            <v>0.21638783269961998</v>
          </cell>
        </row>
        <row r="18">
          <cell r="E18">
            <v>0</v>
          </cell>
          <cell r="H18">
            <v>0.17000000000000015</v>
          </cell>
          <cell r="K18">
            <v>0</v>
          </cell>
        </row>
        <row r="19">
          <cell r="E19">
            <v>0</v>
          </cell>
          <cell r="H19">
            <v>0.25</v>
          </cell>
          <cell r="K19">
            <v>0.64916349809885987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0</v>
          </cell>
          <cell r="H22">
            <v>2.0300000000000002</v>
          </cell>
          <cell r="K22">
            <v>0.93768060836501987</v>
          </cell>
        </row>
        <row r="23">
          <cell r="E23">
            <v>0</v>
          </cell>
          <cell r="H23">
            <v>0.27</v>
          </cell>
          <cell r="K23">
            <v>5.8424714828897342</v>
          </cell>
        </row>
        <row r="24">
          <cell r="E24">
            <v>0</v>
          </cell>
          <cell r="H24">
            <v>0.31000000000000005</v>
          </cell>
          <cell r="K24">
            <v>5.1211787072243338</v>
          </cell>
        </row>
        <row r="25">
          <cell r="E25">
            <v>0</v>
          </cell>
          <cell r="H25">
            <v>5.17</v>
          </cell>
          <cell r="K25">
            <v>1.0819391634980997</v>
          </cell>
        </row>
        <row r="26">
          <cell r="E26">
            <v>0</v>
          </cell>
          <cell r="H26">
            <v>0.81</v>
          </cell>
          <cell r="K26">
            <v>0.36064638783269992</v>
          </cell>
        </row>
        <row r="27">
          <cell r="E27">
            <v>0</v>
          </cell>
          <cell r="H27">
            <v>0.43000000000000016</v>
          </cell>
          <cell r="K27">
            <v>0.79342205323193982</v>
          </cell>
        </row>
        <row r="28">
          <cell r="E28">
            <v>0</v>
          </cell>
          <cell r="H28">
            <v>1.1400000000000006</v>
          </cell>
          <cell r="K28">
            <v>1.8032319391634981</v>
          </cell>
        </row>
        <row r="29">
          <cell r="E29">
            <v>0.3</v>
          </cell>
          <cell r="H29">
            <v>0.89000000000000012</v>
          </cell>
          <cell r="K29">
            <v>1.8032319391634981</v>
          </cell>
        </row>
        <row r="30">
          <cell r="E30">
            <v>0</v>
          </cell>
          <cell r="H30">
            <v>1.29</v>
          </cell>
          <cell r="K30">
            <v>0.79342205323193982</v>
          </cell>
        </row>
        <row r="31">
          <cell r="E31">
            <v>0</v>
          </cell>
          <cell r="H31">
            <v>3.65</v>
          </cell>
          <cell r="K31">
            <v>0</v>
          </cell>
        </row>
        <row r="32">
          <cell r="E32">
            <v>0</v>
          </cell>
          <cell r="H32">
            <v>0</v>
          </cell>
          <cell r="K32">
            <v>2.2360076045627379</v>
          </cell>
        </row>
        <row r="33">
          <cell r="E33">
            <v>0</v>
          </cell>
          <cell r="H33">
            <v>0.53000000000000025</v>
          </cell>
          <cell r="K33">
            <v>0.79342205323193982</v>
          </cell>
        </row>
        <row r="34">
          <cell r="E34">
            <v>0</v>
          </cell>
          <cell r="H34">
            <v>1.0000000000000009E-2</v>
          </cell>
          <cell r="K34">
            <v>0.50490494296577992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3.0000000000000027E-2</v>
          </cell>
          <cell r="K37">
            <v>3.6064638783270792E-2</v>
          </cell>
        </row>
        <row r="38">
          <cell r="E38">
            <v>0.64</v>
          </cell>
          <cell r="H38">
            <v>0</v>
          </cell>
          <cell r="K38">
            <v>1.5147148288973398</v>
          </cell>
        </row>
        <row r="39">
          <cell r="E39">
            <v>0</v>
          </cell>
          <cell r="H39">
            <v>0</v>
          </cell>
          <cell r="K39">
            <v>0</v>
          </cell>
        </row>
        <row r="40">
          <cell r="E40">
            <v>0</v>
          </cell>
          <cell r="H40">
            <v>0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0.17999999999999994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0.63900000000000001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0.14425855513307997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0.26000000000000023</v>
          </cell>
          <cell r="K50">
            <v>1.0098098859315598</v>
          </cell>
        </row>
      </sheetData>
      <sheetData sheetId="4" refreshError="1"/>
      <sheetData sheetId="5">
        <row r="8">
          <cell r="N8">
            <v>18.105454721007909</v>
          </cell>
        </row>
        <row r="9">
          <cell r="N9">
            <v>18.267980439228026</v>
          </cell>
        </row>
        <row r="10">
          <cell r="N10">
            <v>9.9551774658008352</v>
          </cell>
        </row>
        <row r="11">
          <cell r="N11">
            <v>1.4661955888304619</v>
          </cell>
        </row>
        <row r="12">
          <cell r="N12">
            <v>3.2306084287571459</v>
          </cell>
        </row>
        <row r="13">
          <cell r="N13">
            <v>12.911566416946084</v>
          </cell>
        </row>
        <row r="14">
          <cell r="N14">
            <v>17.909556042178544</v>
          </cell>
        </row>
        <row r="15">
          <cell r="N15">
            <v>2.3160751130252786</v>
          </cell>
        </row>
        <row r="16">
          <cell r="N16">
            <v>6.4009654554809288</v>
          </cell>
        </row>
        <row r="17">
          <cell r="N17">
            <v>4.5575423456973132</v>
          </cell>
        </row>
        <row r="18">
          <cell r="N18">
            <v>0</v>
          </cell>
        </row>
        <row r="19">
          <cell r="N19">
            <v>1.0696283053060847</v>
          </cell>
        </row>
        <row r="20">
          <cell r="N20">
            <v>3.8092496777414047</v>
          </cell>
        </row>
        <row r="32">
          <cell r="N32">
            <v>2.0382272514238506</v>
          </cell>
        </row>
        <row r="33">
          <cell r="N33">
            <v>7.0232838081214917</v>
          </cell>
        </row>
        <row r="34">
          <cell r="N34">
            <v>0.5070070148466379</v>
          </cell>
        </row>
        <row r="35">
          <cell r="N35">
            <v>7.5210344781563565</v>
          </cell>
        </row>
        <row r="36">
          <cell r="N36">
            <v>1.1784278866796898</v>
          </cell>
        </row>
        <row r="37">
          <cell r="N37">
            <v>4.8619886123075471</v>
          </cell>
        </row>
        <row r="38">
          <cell r="N38">
            <v>4.2866647430504017</v>
          </cell>
        </row>
        <row r="39">
          <cell r="N39">
            <v>0.80652411044288808</v>
          </cell>
        </row>
        <row r="43">
          <cell r="N43">
            <v>3.2306084287571459</v>
          </cell>
        </row>
        <row r="44">
          <cell r="N44">
            <v>6.8717877034650368</v>
          </cell>
        </row>
        <row r="45">
          <cell r="N45">
            <v>6.0397787134810459</v>
          </cell>
        </row>
        <row r="46">
          <cell r="N46">
            <v>7.815649954507327</v>
          </cell>
        </row>
        <row r="47">
          <cell r="N47">
            <v>1.3083107110671099</v>
          </cell>
        </row>
        <row r="48">
          <cell r="N48">
            <v>1.3671119032477801</v>
          </cell>
        </row>
        <row r="49">
          <cell r="N49">
            <v>3.6778429963753902</v>
          </cell>
        </row>
        <row r="50">
          <cell r="N50">
            <v>3.7406404769809365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STO-P15-PB-PAR</v>
          </cell>
        </row>
        <row r="6">
          <cell r="D6" t="str">
            <v>DF-685-MN - PARIS 9EME ARRDT</v>
          </cell>
        </row>
        <row r="8">
          <cell r="D8" t="str">
            <v>SAINT OUEN</v>
          </cell>
        </row>
        <row r="12">
          <cell r="B12">
            <v>42159</v>
          </cell>
          <cell r="E12" t="str">
            <v>8H25</v>
          </cell>
        </row>
        <row r="15">
          <cell r="E15" t="str">
            <v>sec, ensoleillé</v>
          </cell>
        </row>
        <row r="19">
          <cell r="G19">
            <v>128.68</v>
          </cell>
        </row>
        <row r="26">
          <cell r="H26">
            <v>0.51</v>
          </cell>
        </row>
        <row r="51">
          <cell r="D51">
            <v>0.30789555486478087</v>
          </cell>
        </row>
      </sheetData>
      <sheetData sheetId="1" refreshError="1"/>
      <sheetData sheetId="2">
        <row r="27">
          <cell r="C27">
            <v>3.84</v>
          </cell>
          <cell r="D27">
            <v>2</v>
          </cell>
        </row>
      </sheetData>
      <sheetData sheetId="3">
        <row r="5">
          <cell r="E5">
            <v>0</v>
          </cell>
          <cell r="H5">
            <v>3.0000000000000027E-2</v>
          </cell>
          <cell r="K5">
            <v>1.3110612244897963</v>
          </cell>
        </row>
        <row r="6">
          <cell r="E6">
            <v>0</v>
          </cell>
          <cell r="H6">
            <v>0.31000000000000005</v>
          </cell>
          <cell r="K6">
            <v>1.3110612244897963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0</v>
          </cell>
          <cell r="K8">
            <v>0</v>
          </cell>
        </row>
        <row r="9">
          <cell r="E9">
            <v>0</v>
          </cell>
          <cell r="H9">
            <v>0</v>
          </cell>
          <cell r="K9">
            <v>0</v>
          </cell>
        </row>
        <row r="10">
          <cell r="E10">
            <v>0.16</v>
          </cell>
          <cell r="H10">
            <v>1.25</v>
          </cell>
          <cell r="K10">
            <v>0.82322448979591833</v>
          </cell>
        </row>
        <row r="11">
          <cell r="E11">
            <v>0</v>
          </cell>
          <cell r="H11">
            <v>3.57</v>
          </cell>
          <cell r="K11">
            <v>0.15244897959183687</v>
          </cell>
        </row>
        <row r="12">
          <cell r="E12">
            <v>0</v>
          </cell>
          <cell r="H12">
            <v>0.21000000000000019</v>
          </cell>
          <cell r="K12">
            <v>9.1469387755102119E-2</v>
          </cell>
        </row>
        <row r="13">
          <cell r="E13">
            <v>0</v>
          </cell>
          <cell r="H13">
            <v>16.790000000000006</v>
          </cell>
          <cell r="K13">
            <v>1.0671428571428574</v>
          </cell>
        </row>
        <row r="14">
          <cell r="E14">
            <v>0</v>
          </cell>
          <cell r="H14">
            <v>2.0300000000000002</v>
          </cell>
          <cell r="K14">
            <v>9.1469387755102119E-2</v>
          </cell>
        </row>
        <row r="15">
          <cell r="E15">
            <v>0</v>
          </cell>
          <cell r="H15">
            <v>1.9900000000000002</v>
          </cell>
          <cell r="K15">
            <v>0.82322448979591833</v>
          </cell>
        </row>
        <row r="16">
          <cell r="E16">
            <v>2.1</v>
          </cell>
          <cell r="H16">
            <v>0.89000000000000012</v>
          </cell>
          <cell r="K16">
            <v>0.21342857142857161</v>
          </cell>
        </row>
        <row r="17">
          <cell r="E17">
            <v>0</v>
          </cell>
          <cell r="H17">
            <v>0.66000000000000059</v>
          </cell>
          <cell r="K17">
            <v>0.45734693877551064</v>
          </cell>
        </row>
        <row r="18">
          <cell r="E18">
            <v>0</v>
          </cell>
          <cell r="H18">
            <v>5.0000000000000044E-2</v>
          </cell>
          <cell r="K18">
            <v>3.0489795918367375E-2</v>
          </cell>
        </row>
        <row r="19">
          <cell r="E19">
            <v>0</v>
          </cell>
          <cell r="H19">
            <v>0.19000000000000017</v>
          </cell>
          <cell r="K19">
            <v>1.0061632653061228</v>
          </cell>
        </row>
        <row r="20">
          <cell r="E20">
            <v>0</v>
          </cell>
          <cell r="H20">
            <v>5.0000000000000044E-2</v>
          </cell>
          <cell r="K20">
            <v>0</v>
          </cell>
        </row>
        <row r="21">
          <cell r="E21">
            <v>0</v>
          </cell>
          <cell r="H21">
            <v>0.17000000000000015</v>
          </cell>
          <cell r="K21">
            <v>0</v>
          </cell>
        </row>
        <row r="22">
          <cell r="E22">
            <v>0</v>
          </cell>
          <cell r="H22">
            <v>0.3</v>
          </cell>
          <cell r="K22">
            <v>0</v>
          </cell>
        </row>
        <row r="23">
          <cell r="E23">
            <v>0</v>
          </cell>
          <cell r="H23">
            <v>0.15000000000000013</v>
          </cell>
          <cell r="K23">
            <v>0.33538775510204111</v>
          </cell>
        </row>
        <row r="24">
          <cell r="E24">
            <v>0</v>
          </cell>
          <cell r="H24">
            <v>2.6</v>
          </cell>
          <cell r="K24">
            <v>1.6159591836734701</v>
          </cell>
        </row>
        <row r="25">
          <cell r="E25">
            <v>0</v>
          </cell>
          <cell r="H25">
            <v>4.8100000000000005</v>
          </cell>
          <cell r="K25">
            <v>0.33538775510204111</v>
          </cell>
        </row>
        <row r="26">
          <cell r="E26">
            <v>0</v>
          </cell>
          <cell r="H26">
            <v>0.41000000000000014</v>
          </cell>
          <cell r="K26">
            <v>0.51832653061224532</v>
          </cell>
        </row>
        <row r="27">
          <cell r="E27">
            <v>0</v>
          </cell>
          <cell r="H27">
            <v>0.15000000000000013</v>
          </cell>
          <cell r="K27">
            <v>0.15244897959183687</v>
          </cell>
        </row>
        <row r="28">
          <cell r="E28">
            <v>0</v>
          </cell>
          <cell r="H28">
            <v>0.71</v>
          </cell>
          <cell r="K28">
            <v>0.51832653061224532</v>
          </cell>
        </row>
        <row r="29">
          <cell r="E29">
            <v>0</v>
          </cell>
          <cell r="H29">
            <v>0.49000000000000021</v>
          </cell>
          <cell r="K29">
            <v>1.4330204081632658</v>
          </cell>
        </row>
        <row r="30">
          <cell r="E30">
            <v>0</v>
          </cell>
          <cell r="H30">
            <v>0.39000000000000012</v>
          </cell>
          <cell r="K30">
            <v>0.21342857142857161</v>
          </cell>
        </row>
        <row r="31">
          <cell r="E31">
            <v>0</v>
          </cell>
          <cell r="H31">
            <v>8.83</v>
          </cell>
          <cell r="K31">
            <v>0</v>
          </cell>
        </row>
        <row r="32">
          <cell r="E32">
            <v>0</v>
          </cell>
          <cell r="H32">
            <v>0.19000000000000017</v>
          </cell>
          <cell r="K32">
            <v>1.0671428571428574</v>
          </cell>
        </row>
        <row r="33">
          <cell r="E33">
            <v>0</v>
          </cell>
          <cell r="H33">
            <v>0.1100000000000001</v>
          </cell>
          <cell r="K33">
            <v>0.21342857142857161</v>
          </cell>
        </row>
        <row r="34">
          <cell r="E34">
            <v>0</v>
          </cell>
          <cell r="H34">
            <v>1.0000000000000009E-2</v>
          </cell>
          <cell r="K34">
            <v>9.1469387755102119E-2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1.0000000000000009E-2</v>
          </cell>
          <cell r="K37">
            <v>0</v>
          </cell>
        </row>
        <row r="38">
          <cell r="E38">
            <v>0</v>
          </cell>
          <cell r="H38">
            <v>0</v>
          </cell>
          <cell r="K38">
            <v>0</v>
          </cell>
        </row>
        <row r="39">
          <cell r="E39">
            <v>0</v>
          </cell>
          <cell r="H39">
            <v>0</v>
          </cell>
          <cell r="K39">
            <v>0.94518367346938792</v>
          </cell>
        </row>
        <row r="40">
          <cell r="E40">
            <v>0</v>
          </cell>
          <cell r="H40">
            <v>0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</v>
          </cell>
        </row>
        <row r="49">
          <cell r="E49">
            <v>0</v>
          </cell>
          <cell r="H49">
            <v>0</v>
          </cell>
          <cell r="K49">
            <v>0.1219591836734695</v>
          </cell>
        </row>
        <row r="50">
          <cell r="E50">
            <v>0</v>
          </cell>
          <cell r="H50">
            <v>0.28000000000000025</v>
          </cell>
          <cell r="K50">
            <v>0.73175510204081695</v>
          </cell>
        </row>
      </sheetData>
      <sheetData sheetId="4" refreshError="1"/>
      <sheetData sheetId="5">
        <row r="8">
          <cell r="N8">
            <v>9.7556531862969944</v>
          </cell>
        </row>
        <row r="9">
          <cell r="N9">
            <v>35.360205318966159</v>
          </cell>
        </row>
        <row r="10">
          <cell r="N10">
            <v>9.6164144194307823</v>
          </cell>
        </row>
        <row r="11">
          <cell r="N11">
            <v>2.5391089788077834</v>
          </cell>
        </row>
        <row r="12">
          <cell r="N12">
            <v>0.40401819700657066</v>
          </cell>
        </row>
        <row r="13">
          <cell r="N13">
            <v>6.514902975473138</v>
          </cell>
        </row>
        <row r="14">
          <cell r="N14">
            <v>14.476788983557979</v>
          </cell>
        </row>
        <row r="15">
          <cell r="N15">
            <v>0.82990406694630448</v>
          </cell>
        </row>
        <row r="16">
          <cell r="N16">
            <v>13.567543019590206</v>
          </cell>
        </row>
        <row r="17">
          <cell r="N17">
            <v>0.6040189465102721</v>
          </cell>
        </row>
        <row r="18">
          <cell r="N18">
            <v>1.4516804175441373</v>
          </cell>
        </row>
        <row r="19">
          <cell r="N19">
            <v>0.16750082363272564</v>
          </cell>
        </row>
        <row r="20">
          <cell r="N20">
            <v>4.7122606662369337</v>
          </cell>
        </row>
        <row r="32">
          <cell r="N32">
            <v>3.0786303844473886</v>
          </cell>
        </row>
        <row r="33">
          <cell r="N33">
            <v>4.9566170052182672</v>
          </cell>
        </row>
        <row r="34">
          <cell r="N34">
            <v>0.40142075877787436</v>
          </cell>
        </row>
        <row r="35">
          <cell r="N35">
            <v>24.01037974728747</v>
          </cell>
        </row>
        <row r="36">
          <cell r="N36">
            <v>2.9131574232351571</v>
          </cell>
        </row>
        <row r="37">
          <cell r="N37">
            <v>3.7776551853411444</v>
          </cell>
        </row>
        <row r="38">
          <cell r="N38">
            <v>4.3063960437003415</v>
          </cell>
        </row>
        <row r="39">
          <cell r="N39">
            <v>1.5323631903892962</v>
          </cell>
        </row>
        <row r="43">
          <cell r="N43">
            <v>0.40401819700657066</v>
          </cell>
        </row>
        <row r="44">
          <cell r="N44">
            <v>0.68365700118872286</v>
          </cell>
        </row>
        <row r="45">
          <cell r="N45">
            <v>5.8312459742844149</v>
          </cell>
        </row>
        <row r="46">
          <cell r="N46">
            <v>7.9290319761784751</v>
          </cell>
        </row>
        <row r="47">
          <cell r="N47">
            <v>1.2781831332434372</v>
          </cell>
        </row>
        <row r="48">
          <cell r="N48">
            <v>0.4163399273476589</v>
          </cell>
        </row>
        <row r="49">
          <cell r="N49">
            <v>1.8915204833697137</v>
          </cell>
        </row>
        <row r="50">
          <cell r="N50">
            <v>2.9617134634186932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ISS A14 PB BAN</v>
          </cell>
        </row>
      </sheetData>
      <sheetData sheetId="1"/>
      <sheetData sheetId="2">
        <row r="27">
          <cell r="C27">
            <v>9.08</v>
          </cell>
        </row>
      </sheetData>
      <sheetData sheetId="3">
        <row r="5">
          <cell r="E5">
            <v>0</v>
          </cell>
        </row>
      </sheetData>
      <sheetData sheetId="4"/>
      <sheetData sheetId="5">
        <row r="8">
          <cell r="N8">
            <v>53.787605391864929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opLeftCell="A7" workbookViewId="0">
      <selection activeCell="B121" sqref="B121"/>
    </sheetView>
  </sheetViews>
  <sheetFormatPr baseColWidth="10" defaultRowHeight="15" x14ac:dyDescent="0.25"/>
  <cols>
    <col min="1" max="1" width="18.28515625" customWidth="1"/>
    <col min="2" max="2" width="30" customWidth="1"/>
  </cols>
  <sheetData>
    <row r="1" spans="1:10" s="1" customFormat="1" ht="12.75" x14ac:dyDescent="0.2"/>
    <row r="2" spans="1:10" s="1" customFormat="1" ht="15.75" x14ac:dyDescent="0.25">
      <c r="A2" s="1" t="s">
        <v>0</v>
      </c>
      <c r="B2" s="476" t="str">
        <f>'[1]F 1 _ Echant et Séchage'!D5</f>
        <v>ISS-P15-PB-BAN</v>
      </c>
      <c r="C2" s="476"/>
      <c r="D2" s="476"/>
      <c r="E2" s="476"/>
      <c r="F2" s="476"/>
      <c r="G2" s="2"/>
      <c r="H2" s="2"/>
      <c r="I2" s="2"/>
      <c r="J2" s="2"/>
    </row>
    <row r="3" spans="1:10" s="1" customFormat="1" ht="12.75" x14ac:dyDescent="0.2">
      <c r="A3" s="1" t="s">
        <v>1</v>
      </c>
      <c r="B3" s="483" t="str">
        <f>'[1]F 1 _ Echant et Séchage'!D6</f>
        <v>BA-126-ZV - CHATILLON</v>
      </c>
      <c r="C3" s="483"/>
      <c r="D3" s="483"/>
      <c r="E3" s="483"/>
      <c r="F3" s="483"/>
      <c r="G3" s="3"/>
      <c r="H3" s="3"/>
      <c r="I3" s="3"/>
      <c r="J3" s="3"/>
    </row>
    <row r="4" spans="1:10" s="1" customFormat="1" ht="12.75" x14ac:dyDescent="0.2">
      <c r="A4" s="1" t="s">
        <v>2</v>
      </c>
      <c r="B4" s="243"/>
      <c r="C4" s="243" t="str">
        <f>'[1]F 1 _ Echant et Séchage'!D8</f>
        <v>ISSEANE</v>
      </c>
      <c r="D4" s="243"/>
      <c r="E4" s="243"/>
      <c r="F4" s="243"/>
      <c r="G4" s="3"/>
      <c r="H4" s="3"/>
      <c r="I4" s="3"/>
      <c r="J4" s="3"/>
    </row>
    <row r="5" spans="1:10" s="1" customFormat="1" ht="12.75" x14ac:dyDescent="0.2">
      <c r="A5" s="1" t="s">
        <v>3</v>
      </c>
      <c r="B5" s="243"/>
      <c r="C5" s="243" t="str">
        <f>'[1]F 1 _ Echant et Séchage'!E15</f>
        <v>sec, nuageux</v>
      </c>
      <c r="D5" s="243"/>
      <c r="E5" s="243"/>
      <c r="F5" s="243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478" t="s">
        <v>4</v>
      </c>
      <c r="B7" s="478"/>
      <c r="C7" s="478"/>
      <c r="D7" s="478"/>
      <c r="E7" s="478"/>
      <c r="F7" s="478"/>
      <c r="G7" s="478"/>
      <c r="H7" s="478"/>
      <c r="I7" s="478"/>
      <c r="J7" s="478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'[1]F 1 _ Echant et Séchage'!B12</f>
        <v>42158</v>
      </c>
      <c r="D9" s="477" t="s">
        <v>6</v>
      </c>
      <c r="E9" s="477"/>
      <c r="F9" s="477"/>
      <c r="G9" s="6">
        <f>'[1]F 1 _ Echant et Séchage'!G19</f>
        <v>126.63999999999999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 t="str">
        <f>'[1]F 1 _ Echant et Séchage'!E12</f>
        <v>8H25</v>
      </c>
      <c r="D10" s="477" t="s">
        <v>9</v>
      </c>
      <c r="E10" s="477"/>
      <c r="F10" s="477"/>
      <c r="G10" s="243">
        <f>'[1]F 1 _ Echant et Séchage'!H26</f>
        <v>0.42</v>
      </c>
      <c r="H10" s="243"/>
      <c r="I10" s="9"/>
      <c r="J10" s="1" t="s">
        <v>10</v>
      </c>
    </row>
    <row r="11" spans="1:10" s="1" customFormat="1" ht="12.75" x14ac:dyDescent="0.2">
      <c r="B11" s="477"/>
      <c r="C11" s="477"/>
      <c r="D11" s="477" t="s">
        <v>11</v>
      </c>
      <c r="E11" s="477"/>
      <c r="F11" s="477"/>
      <c r="G11" s="10">
        <f>G9/1000/G10</f>
        <v>0.30152380952380947</v>
      </c>
      <c r="H11" s="10"/>
      <c r="I11" s="3"/>
      <c r="J11" s="3" t="s">
        <v>12</v>
      </c>
    </row>
    <row r="12" spans="1:10" s="1" customFormat="1" ht="12.75" x14ac:dyDescent="0.2">
      <c r="B12" s="7"/>
      <c r="D12" s="477" t="s">
        <v>13</v>
      </c>
      <c r="E12" s="477"/>
      <c r="F12" s="477"/>
      <c r="G12" s="231">
        <f>'[1]F 1 _ Echant et Séchage'!D51</f>
        <v>0.45402716361339229</v>
      </c>
      <c r="H12" s="11"/>
      <c r="I12" s="11"/>
    </row>
    <row r="13" spans="1:10" s="1" customFormat="1" ht="12.75" x14ac:dyDescent="0.2">
      <c r="B13" s="12"/>
      <c r="G13" s="234"/>
      <c r="H13" s="234"/>
      <c r="I13" s="234"/>
    </row>
    <row r="14" spans="1:10" s="1" customFormat="1" ht="18.75" customHeight="1" x14ac:dyDescent="0.2">
      <c r="A14" s="478" t="s">
        <v>14</v>
      </c>
      <c r="B14" s="478"/>
      <c r="C14" s="478"/>
      <c r="D14" s="478"/>
      <c r="E14" s="478"/>
      <c r="F14" s="478"/>
      <c r="G14" s="478"/>
      <c r="H14" s="478"/>
      <c r="I14" s="478"/>
      <c r="J14" s="478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479" t="s">
        <v>16</v>
      </c>
      <c r="H16" s="481" t="s">
        <v>17</v>
      </c>
      <c r="I16" s="479" t="s">
        <v>18</v>
      </c>
      <c r="J16" s="481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0"/>
      <c r="H17" s="482"/>
      <c r="I17" s="480"/>
      <c r="J17" s="482"/>
    </row>
    <row r="18" spans="1:10" s="1" customFormat="1" ht="15" customHeight="1" x14ac:dyDescent="0.2">
      <c r="A18" s="489" t="s">
        <v>26</v>
      </c>
      <c r="B18" s="18" t="s">
        <v>119</v>
      </c>
      <c r="C18" s="19">
        <f>'[1]F 4 TRI _ Granulo'!K5</f>
        <v>2.3877857142857142</v>
      </c>
      <c r="D18" s="20">
        <f>'[1]F 4 TRI _ Granulo'!H5</f>
        <v>5.0000000000000044E-2</v>
      </c>
      <c r="E18" s="20">
        <f>'[1]F 4 TRI _ Granulo'!E5</f>
        <v>0</v>
      </c>
      <c r="F18" s="20">
        <f>SUM(C18:E18)</f>
        <v>2.437785714285714</v>
      </c>
      <c r="G18" s="21">
        <f t="shared" ref="G18:G64" si="0">F18/$F$64</f>
        <v>3.4846115636746416E-2</v>
      </c>
      <c r="H18" s="21">
        <f>G18*J18/I18</f>
        <v>7.7258518541606924E-2</v>
      </c>
      <c r="I18" s="484">
        <f>G18+G19+G20+G21+G22</f>
        <v>6.5874667724434996E-2</v>
      </c>
      <c r="J18" s="484">
        <f>'[1]Calcul sous cat &gt;20'!N8/100</f>
        <v>0.14605298595874291</v>
      </c>
    </row>
    <row r="19" spans="1:10" s="1" customFormat="1" ht="15" customHeight="1" x14ac:dyDescent="0.2">
      <c r="A19" s="490"/>
      <c r="B19" s="18" t="s">
        <v>27</v>
      </c>
      <c r="C19" s="19">
        <f>'[1]F 4 TRI _ Granulo'!K6</f>
        <v>2.0983571428571426</v>
      </c>
      <c r="D19" s="20">
        <f>'[1]F 4 TRI _ Granulo'!H6</f>
        <v>0</v>
      </c>
      <c r="E19" s="20">
        <f>'[1]F 4 TRI _ Granulo'!E6</f>
        <v>0</v>
      </c>
      <c r="F19" s="20">
        <f>SUM(C19:E19)</f>
        <v>2.0983571428571426</v>
      </c>
      <c r="G19" s="21">
        <f t="shared" si="0"/>
        <v>2.9994267018098961E-2</v>
      </c>
      <c r="H19" s="21">
        <f>G19*J18/I18</f>
        <v>6.650131850323146E-2</v>
      </c>
      <c r="I19" s="484"/>
      <c r="J19" s="484"/>
    </row>
    <row r="20" spans="1:10" s="1" customFormat="1" ht="15" customHeight="1" x14ac:dyDescent="0.2">
      <c r="A20" s="490"/>
      <c r="B20" s="18" t="s">
        <v>28</v>
      </c>
      <c r="C20" s="19">
        <f>'[1]F 4 TRI _ Granulo'!K7</f>
        <v>0</v>
      </c>
      <c r="D20" s="20">
        <f>'[1]F 4 TRI _ Granulo'!H7</f>
        <v>0</v>
      </c>
      <c r="E20" s="20">
        <f>'[1]F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484"/>
      <c r="J20" s="484"/>
    </row>
    <row r="21" spans="1:10" s="1" customFormat="1" ht="15" customHeight="1" x14ac:dyDescent="0.2">
      <c r="A21" s="490"/>
      <c r="B21" s="18" t="s">
        <v>29</v>
      </c>
      <c r="C21" s="19">
        <f>'[1]F 4 TRI _ Granulo'!K8</f>
        <v>0</v>
      </c>
      <c r="D21" s="20">
        <f>'[1]F 4 TRI _ Granulo'!H8</f>
        <v>0</v>
      </c>
      <c r="E21" s="20">
        <f>'[1]F 4 TRI _ Granulo'!E8</f>
        <v>0</v>
      </c>
      <c r="F21" s="20">
        <f t="shared" si="1"/>
        <v>0</v>
      </c>
      <c r="G21" s="21">
        <f t="shared" si="0"/>
        <v>0</v>
      </c>
      <c r="H21" s="21">
        <f>G21*J18/I18</f>
        <v>0</v>
      </c>
      <c r="I21" s="484"/>
      <c r="J21" s="484"/>
    </row>
    <row r="22" spans="1:10" s="1" customFormat="1" ht="15" customHeight="1" x14ac:dyDescent="0.2">
      <c r="A22" s="491"/>
      <c r="B22" s="18" t="s">
        <v>30</v>
      </c>
      <c r="C22" s="19">
        <f>'[1]F 4 TRI _ Granulo'!K9</f>
        <v>7.2357142857142911E-2</v>
      </c>
      <c r="D22" s="20">
        <f>'[1]F 4 TRI _ Granulo'!H9</f>
        <v>0</v>
      </c>
      <c r="E22" s="20">
        <f>'[1]F 4 TRI _ Granulo'!E9</f>
        <v>0</v>
      </c>
      <c r="F22" s="20">
        <f t="shared" si="1"/>
        <v>7.2357142857142911E-2</v>
      </c>
      <c r="G22" s="21">
        <f t="shared" si="0"/>
        <v>1.0342850695896203E-3</v>
      </c>
      <c r="H22" s="21">
        <f>G22*J18/I18</f>
        <v>2.2931489139045354E-3</v>
      </c>
      <c r="I22" s="484"/>
      <c r="J22" s="484"/>
    </row>
    <row r="23" spans="1:10" s="1" customFormat="1" ht="15" customHeight="1" x14ac:dyDescent="0.2">
      <c r="A23" s="485" t="s">
        <v>31</v>
      </c>
      <c r="B23" s="18" t="s">
        <v>32</v>
      </c>
      <c r="C23" s="19">
        <f>'[1]F 4 TRI _ Granulo'!K10</f>
        <v>0.36178571428571454</v>
      </c>
      <c r="D23" s="20">
        <f>'[1]F 4 TRI _ Granulo'!H10</f>
        <v>0.25</v>
      </c>
      <c r="E23" s="20">
        <f>'[1]F 4 TRI _ Granulo'!E10</f>
        <v>0</v>
      </c>
      <c r="F23" s="20">
        <f t="shared" si="1"/>
        <v>0.6117857142857146</v>
      </c>
      <c r="G23" s="21">
        <f t="shared" si="0"/>
        <v>8.7449670493929873E-3</v>
      </c>
      <c r="H23" s="21">
        <f>'[1]Calcul sous cat &gt;20'!N32/100</f>
        <v>8.1016170465534037E-3</v>
      </c>
      <c r="I23" s="488">
        <f>G23+G24+G25+G26+G27</f>
        <v>0.14210545929965734</v>
      </c>
      <c r="J23" s="488">
        <f>'[1]Calcul sous cat &gt;20'!N9/100</f>
        <v>0.12894116346925469</v>
      </c>
    </row>
    <row r="24" spans="1:10" s="1" customFormat="1" ht="15" customHeight="1" x14ac:dyDescent="0.2">
      <c r="A24" s="486"/>
      <c r="B24" s="18" t="s">
        <v>33</v>
      </c>
      <c r="C24" s="19">
        <f>'[1]F 4 TRI _ Granulo'!K11</f>
        <v>0.36178571428571454</v>
      </c>
      <c r="D24" s="20">
        <f>'[1]F 4 TRI _ Granulo'!H11</f>
        <v>2.0500000000000003</v>
      </c>
      <c r="E24" s="20">
        <f>'[1]F 4 TRI _ Granulo'!E11</f>
        <v>0</v>
      </c>
      <c r="F24" s="20">
        <f t="shared" si="1"/>
        <v>2.4117857142857146</v>
      </c>
      <c r="G24" s="21">
        <f t="shared" si="0"/>
        <v>3.4474467299796155E-2</v>
      </c>
      <c r="H24" s="21">
        <f>'[1]Calcul sous cat &gt;20'!N33/100</f>
        <v>3.0900825299813285E-2</v>
      </c>
      <c r="I24" s="488"/>
      <c r="J24" s="488"/>
    </row>
    <row r="25" spans="1:10" s="1" customFormat="1" ht="15" customHeight="1" x14ac:dyDescent="0.2">
      <c r="A25" s="486"/>
      <c r="B25" s="18" t="s">
        <v>34</v>
      </c>
      <c r="C25" s="19">
        <f>'[1]F 4 TRI _ Granulo'!K12</f>
        <v>1.2300714285714294</v>
      </c>
      <c r="D25" s="20">
        <f>'[1]F 4 TRI _ Granulo'!H12</f>
        <v>1.33</v>
      </c>
      <c r="E25" s="20">
        <f>'[1]F 4 TRI _ Granulo'!E12</f>
        <v>0</v>
      </c>
      <c r="F25" s="20">
        <f t="shared" si="1"/>
        <v>2.5600714285714297</v>
      </c>
      <c r="G25" s="21">
        <f t="shared" si="0"/>
        <v>3.6594088034710336E-2</v>
      </c>
      <c r="H25" s="21">
        <f>'[1]Calcul sous cat &gt;20'!N34/100</f>
        <v>3.2800724998389118E-2</v>
      </c>
      <c r="I25" s="488"/>
      <c r="J25" s="488"/>
    </row>
    <row r="26" spans="1:10" s="1" customFormat="1" ht="15" customHeight="1" x14ac:dyDescent="0.2">
      <c r="A26" s="486"/>
      <c r="B26" s="18" t="s">
        <v>35</v>
      </c>
      <c r="C26" s="19">
        <f>'[1]F 4 TRI _ Granulo'!K13</f>
        <v>1.3747857142857152</v>
      </c>
      <c r="D26" s="20">
        <f>'[1]F 4 TRI _ Granulo'!H13</f>
        <v>0.27</v>
      </c>
      <c r="E26" s="20">
        <f>'[1]F 4 TRI _ Granulo'!E13</f>
        <v>0</v>
      </c>
      <c r="F26" s="20">
        <f t="shared" si="1"/>
        <v>1.6447857142857152</v>
      </c>
      <c r="G26" s="21">
        <f t="shared" si="0"/>
        <v>2.3510841359763258E-2</v>
      </c>
      <c r="H26" s="21">
        <f>'[1]Calcul sous cat &gt;20'!N35/100</f>
        <v>2.1285078679266999E-2</v>
      </c>
      <c r="I26" s="488"/>
      <c r="J26" s="488"/>
    </row>
    <row r="27" spans="1:10" s="1" customFormat="1" ht="15" customHeight="1" x14ac:dyDescent="0.2">
      <c r="A27" s="487"/>
      <c r="B27" s="18" t="s">
        <v>36</v>
      </c>
      <c r="C27" s="19">
        <f>'[1]F 4 TRI _ Granulo'!K14</f>
        <v>2.2430714285714286</v>
      </c>
      <c r="D27" s="20">
        <f>'[1]F 4 TRI _ Granulo'!H14</f>
        <v>0.4700000000000002</v>
      </c>
      <c r="E27" s="20">
        <f>'[1]F 4 TRI _ Granulo'!E14</f>
        <v>0</v>
      </c>
      <c r="F27" s="20">
        <f t="shared" si="1"/>
        <v>2.7130714285714288</v>
      </c>
      <c r="G27" s="21">
        <f t="shared" si="0"/>
        <v>3.8781095555994592E-2</v>
      </c>
      <c r="H27" s="21">
        <f>'[1]Calcul sous cat &gt;20'!N36/100</f>
        <v>3.5852917445231912E-2</v>
      </c>
      <c r="I27" s="488"/>
      <c r="J27" s="488"/>
    </row>
    <row r="28" spans="1:10" s="1" customFormat="1" ht="15" customHeight="1" x14ac:dyDescent="0.2">
      <c r="A28" s="485" t="s">
        <v>37</v>
      </c>
      <c r="B28" s="18" t="s">
        <v>38</v>
      </c>
      <c r="C28" s="19">
        <f>'[1]F 4 TRI _ Granulo'!K15</f>
        <v>1.953642857142857</v>
      </c>
      <c r="D28" s="20">
        <f>'[1]F 4 TRI _ Granulo'!H15</f>
        <v>1.0100000000000002</v>
      </c>
      <c r="E28" s="20">
        <f>'[1]F 4 TRI _ Granulo'!E15</f>
        <v>0</v>
      </c>
      <c r="F28" s="20">
        <f t="shared" si="1"/>
        <v>2.9636428571428572</v>
      </c>
      <c r="G28" s="21">
        <f t="shared" si="0"/>
        <v>4.2362805352757063E-2</v>
      </c>
      <c r="H28" s="21">
        <f>'[1]Calcul sous cat &gt;20'!N37/100</f>
        <v>3.8319675541824992E-2</v>
      </c>
      <c r="I28" s="488">
        <f>G28+G29+G30</f>
        <v>6.2946405553079593E-2</v>
      </c>
      <c r="J28" s="488">
        <f>'[1]Calcul sous cat &gt;20'!N10/100</f>
        <v>5.7122899136496791E-2</v>
      </c>
    </row>
    <row r="29" spans="1:10" s="1" customFormat="1" ht="15" customHeight="1" x14ac:dyDescent="0.2">
      <c r="A29" s="486"/>
      <c r="B29" s="18" t="s">
        <v>39</v>
      </c>
      <c r="C29" s="19">
        <f>'[1]F 4 TRI _ Granulo'!K16</f>
        <v>0</v>
      </c>
      <c r="D29" s="20">
        <f>'[1]F 4 TRI _ Granulo'!H16</f>
        <v>0.79</v>
      </c>
      <c r="E29" s="20">
        <f>'[1]F 4 TRI _ Granulo'!E16</f>
        <v>0</v>
      </c>
      <c r="F29" s="20">
        <f t="shared" si="1"/>
        <v>0.79</v>
      </c>
      <c r="G29" s="21">
        <f t="shared" si="0"/>
        <v>1.1292391776565837E-2</v>
      </c>
      <c r="H29" s="21">
        <f>'[1]Calcul sous cat &gt;20'!N38/100</f>
        <v>1.0220699066386283E-2</v>
      </c>
      <c r="I29" s="488"/>
      <c r="J29" s="488"/>
    </row>
    <row r="30" spans="1:10" s="1" customFormat="1" ht="15" customHeight="1" x14ac:dyDescent="0.2">
      <c r="A30" s="487"/>
      <c r="B30" s="18" t="s">
        <v>40</v>
      </c>
      <c r="C30" s="19">
        <f>'[1]F 4 TRI _ Granulo'!K17</f>
        <v>0</v>
      </c>
      <c r="D30" s="20">
        <f>'[1]F 4 TRI _ Granulo'!H17</f>
        <v>0.64999999999999991</v>
      </c>
      <c r="E30" s="20">
        <f>'[1]F 4 TRI _ Granulo'!E17</f>
        <v>0</v>
      </c>
      <c r="F30" s="20">
        <f t="shared" si="1"/>
        <v>0.64999999999999991</v>
      </c>
      <c r="G30" s="21">
        <f t="shared" si="0"/>
        <v>9.2912084237566986E-3</v>
      </c>
      <c r="H30" s="21">
        <f>'[1]Calcul sous cat &gt;20'!N39/100</f>
        <v>8.5825245282855119E-3</v>
      </c>
      <c r="I30" s="488"/>
      <c r="J30" s="488"/>
    </row>
    <row r="31" spans="1:10" s="1" customFormat="1" ht="15" customHeight="1" x14ac:dyDescent="0.2">
      <c r="A31" s="492" t="s">
        <v>41</v>
      </c>
      <c r="B31" s="18" t="s">
        <v>42</v>
      </c>
      <c r="C31" s="19">
        <f>'[1]F 4 TRI _ Granulo'!K18</f>
        <v>0.36178571428571454</v>
      </c>
      <c r="D31" s="20">
        <f>'[1]F 4 TRI _ Granulo'!H18</f>
        <v>0.31000000000000005</v>
      </c>
      <c r="E31" s="20">
        <f>'[1]F 4 TRI _ Granulo'!E18</f>
        <v>0</v>
      </c>
      <c r="F31" s="20">
        <f t="shared" si="1"/>
        <v>0.67178571428571465</v>
      </c>
      <c r="G31" s="21">
        <f t="shared" si="0"/>
        <v>9.6026170577397599E-3</v>
      </c>
      <c r="H31" s="249">
        <f>G31*J31/I31</f>
        <v>1.0967599741835197E-2</v>
      </c>
      <c r="I31" s="495">
        <f>G31+G32+G33+G34</f>
        <v>2.2484724385491227E-2</v>
      </c>
      <c r="J31" s="495">
        <f>'[1]Calcul sous cat &gt;20'!N11/100</f>
        <v>2.5680859278542769E-2</v>
      </c>
    </row>
    <row r="32" spans="1:10" s="1" customFormat="1" ht="15" customHeight="1" x14ac:dyDescent="0.2">
      <c r="A32" s="493"/>
      <c r="B32" s="18" t="s">
        <v>43</v>
      </c>
      <c r="C32" s="19">
        <f>'[1]F 4 TRI _ Granulo'!K19</f>
        <v>0.65121428571428619</v>
      </c>
      <c r="D32" s="20">
        <f>'[1]F 4 TRI _ Granulo'!H19</f>
        <v>0.25</v>
      </c>
      <c r="E32" s="20">
        <f>'[1]F 4 TRI _ Granulo'!E19</f>
        <v>0</v>
      </c>
      <c r="F32" s="20">
        <f t="shared" si="1"/>
        <v>0.90121428571428619</v>
      </c>
      <c r="G32" s="21">
        <f t="shared" si="0"/>
        <v>1.2882107327751467E-2</v>
      </c>
      <c r="H32" s="249">
        <f>G32*J31/I31</f>
        <v>1.471325953670757E-2</v>
      </c>
      <c r="I32" s="496"/>
      <c r="J32" s="496"/>
    </row>
    <row r="33" spans="1:10" s="1" customFormat="1" ht="15" customHeight="1" x14ac:dyDescent="0.2">
      <c r="A33" s="493"/>
      <c r="B33" s="18" t="s">
        <v>44</v>
      </c>
      <c r="C33" s="19">
        <f>'[1]F 4 TRI _ Granulo'!K20</f>
        <v>0</v>
      </c>
      <c r="D33" s="20">
        <f>'[1]F 4 TRI _ Granulo'!H20</f>
        <v>0</v>
      </c>
      <c r="E33" s="20">
        <f>'[1]F 4 TRI _ Granulo'!E20</f>
        <v>0</v>
      </c>
      <c r="F33" s="20">
        <f t="shared" si="1"/>
        <v>0</v>
      </c>
      <c r="G33" s="21">
        <f t="shared" si="0"/>
        <v>0</v>
      </c>
      <c r="H33" s="249">
        <f>G33*J31/I31</f>
        <v>0</v>
      </c>
      <c r="I33" s="496"/>
      <c r="J33" s="496"/>
    </row>
    <row r="34" spans="1:10" s="1" customFormat="1" ht="15" customHeight="1" x14ac:dyDescent="0.2">
      <c r="A34" s="494"/>
      <c r="B34" s="18" t="s">
        <v>120</v>
      </c>
      <c r="C34" s="19">
        <f>'[1]F 4 TRI _ Granulo'!K21</f>
        <v>0</v>
      </c>
      <c r="D34" s="20">
        <f>'[1]F 4 TRI _ Granulo'!H21</f>
        <v>0</v>
      </c>
      <c r="E34" s="20">
        <f>'[1]F 4 TRI _ Granulo'!E21</f>
        <v>0</v>
      </c>
      <c r="F34" s="20">
        <f t="shared" si="1"/>
        <v>0</v>
      </c>
      <c r="G34" s="21">
        <f t="shared" si="0"/>
        <v>0</v>
      </c>
      <c r="H34" s="175">
        <f>G34*J31/I31</f>
        <v>0</v>
      </c>
      <c r="I34" s="497"/>
      <c r="J34" s="497"/>
    </row>
    <row r="35" spans="1:10" s="1" customFormat="1" ht="15" customHeight="1" x14ac:dyDescent="0.2">
      <c r="A35" s="244" t="s">
        <v>45</v>
      </c>
      <c r="B35" s="18" t="s">
        <v>46</v>
      </c>
      <c r="C35" s="19">
        <f>'[1]F 4 TRI _ Granulo'!K22</f>
        <v>0.21707142857142872</v>
      </c>
      <c r="D35" s="20">
        <f>'[1]F 4 TRI _ Granulo'!H22</f>
        <v>0.51000000000000023</v>
      </c>
      <c r="E35" s="20">
        <f>'[1]F 4 TRI _ Granulo'!E22</f>
        <v>0</v>
      </c>
      <c r="F35" s="20">
        <f t="shared" si="1"/>
        <v>0.72707142857142892</v>
      </c>
      <c r="G35" s="21">
        <f t="shared" si="0"/>
        <v>1.0392880279716429E-2</v>
      </c>
      <c r="H35" s="21">
        <f>'[1]Calcul sous cat &gt;20'!N43/100</f>
        <v>9.4227435757513259E-3</v>
      </c>
      <c r="I35" s="245">
        <f>G35</f>
        <v>1.0392880279716429E-2</v>
      </c>
      <c r="J35" s="245">
        <f>'[1]Calcul sous cat &gt;20'!N12/100</f>
        <v>9.4227435757513259E-3</v>
      </c>
    </row>
    <row r="36" spans="1:10" s="1" customFormat="1" ht="15" customHeight="1" x14ac:dyDescent="0.2">
      <c r="A36" s="485" t="s">
        <v>47</v>
      </c>
      <c r="B36" s="18" t="s">
        <v>48</v>
      </c>
      <c r="C36" s="19">
        <f>'[1]F 4 TRI _ Granulo'!K23</f>
        <v>8.1763571428571407</v>
      </c>
      <c r="D36" s="20">
        <f>'[1]F 4 TRI _ Granulo'!H23</f>
        <v>2.5100000000000002</v>
      </c>
      <c r="E36" s="20">
        <f>'[1]F 4 TRI _ Granulo'!E23</f>
        <v>0</v>
      </c>
      <c r="F36" s="20">
        <f t="shared" si="1"/>
        <v>10.68635714285714</v>
      </c>
      <c r="G36" s="21">
        <f t="shared" si="0"/>
        <v>0.15275257154613361</v>
      </c>
      <c r="H36" s="21">
        <f>'[1]Calcul sous cat &gt;20'!N44/100</f>
        <v>0.14303675502689969</v>
      </c>
      <c r="I36" s="488">
        <f>G36+G37</f>
        <v>0.24861231718143528</v>
      </c>
      <c r="J36" s="488">
        <f>'[1]Calcul sous cat &gt;20'!N13/100</f>
        <v>0.2319256925702663</v>
      </c>
    </row>
    <row r="37" spans="1:10" s="1" customFormat="1" ht="15" customHeight="1" x14ac:dyDescent="0.2">
      <c r="A37" s="487"/>
      <c r="B37" s="18" t="s">
        <v>49</v>
      </c>
      <c r="C37" s="19">
        <f>'[1]F 4 TRI _ Granulo'!K24</f>
        <v>5.7162142857142841</v>
      </c>
      <c r="D37" s="20">
        <f>'[1]F 4 TRI _ Granulo'!H24</f>
        <v>0.99000000000000021</v>
      </c>
      <c r="E37" s="20">
        <f>'[1]F 4 TRI _ Granulo'!E24</f>
        <v>0</v>
      </c>
      <c r="F37" s="20">
        <f t="shared" si="1"/>
        <v>6.7062142857142844</v>
      </c>
      <c r="G37" s="21">
        <f t="shared" si="0"/>
        <v>9.5859745635301669E-2</v>
      </c>
      <c r="H37" s="21">
        <f>'[1]Calcul sous cat &gt;20'!N45/100</f>
        <v>8.8888937543366589E-2</v>
      </c>
      <c r="I37" s="488"/>
      <c r="J37" s="488"/>
    </row>
    <row r="38" spans="1:10" s="1" customFormat="1" ht="15" customHeight="1" x14ac:dyDescent="0.2">
      <c r="A38" s="485" t="s">
        <v>50</v>
      </c>
      <c r="B38" s="18" t="s">
        <v>51</v>
      </c>
      <c r="C38" s="19">
        <f>'[1]F 4 TRI _ Granulo'!K25</f>
        <v>1.2300714285714294</v>
      </c>
      <c r="D38" s="20">
        <f>'[1]F 4 TRI _ Granulo'!H25</f>
        <v>6.3900000000000006</v>
      </c>
      <c r="E38" s="20">
        <f>'[1]F 4 TRI _ Granulo'!E25</f>
        <v>0</v>
      </c>
      <c r="F38" s="20">
        <f t="shared" si="1"/>
        <v>7.6200714285714302</v>
      </c>
      <c r="G38" s="21">
        <f t="shared" si="0"/>
        <v>0.10892257207195481</v>
      </c>
      <c r="H38" s="21">
        <f>'[1]Calcul sous cat &gt;20'!N46/100</f>
        <v>0.11317161279530813</v>
      </c>
      <c r="I38" s="488">
        <f>G38+G39+G40+G41+G42</f>
        <v>0.20955759043230157</v>
      </c>
      <c r="J38" s="488">
        <f>'[1]Calcul sous cat &gt;20'!N14/100</f>
        <v>0.21436659405416794</v>
      </c>
    </row>
    <row r="39" spans="1:10" s="1" customFormat="1" ht="15" customHeight="1" x14ac:dyDescent="0.2">
      <c r="A39" s="486"/>
      <c r="B39" s="18" t="s">
        <v>52</v>
      </c>
      <c r="C39" s="19">
        <f>'[1]F 4 TRI _ Granulo'!K26</f>
        <v>0.79592857142857198</v>
      </c>
      <c r="D39" s="20">
        <f>'[1]F 4 TRI _ Granulo'!H26</f>
        <v>0.43000000000000016</v>
      </c>
      <c r="E39" s="20">
        <f>'[1]F 4 TRI _ Granulo'!E26</f>
        <v>0</v>
      </c>
      <c r="F39" s="20">
        <f t="shared" si="1"/>
        <v>1.2259285714285721</v>
      </c>
      <c r="G39" s="21">
        <f t="shared" si="0"/>
        <v>1.7523627491971026E-2</v>
      </c>
      <c r="H39" s="21">
        <f>'[1]Calcul sous cat &gt;20'!N47/100</f>
        <v>1.6278531244391044E-2</v>
      </c>
      <c r="I39" s="488"/>
      <c r="J39" s="488"/>
    </row>
    <row r="40" spans="1:10" s="1" customFormat="1" ht="15" customHeight="1" x14ac:dyDescent="0.2">
      <c r="A40" s="486"/>
      <c r="B40" s="18" t="s">
        <v>53</v>
      </c>
      <c r="C40" s="19">
        <f>'[1]F 4 TRI _ Granulo'!K27</f>
        <v>0.50650000000000028</v>
      </c>
      <c r="D40" s="20">
        <f>'[1]F 4 TRI _ Granulo'!H27</f>
        <v>0.39000000000000012</v>
      </c>
      <c r="E40" s="20">
        <f>'[1]F 4 TRI _ Granulo'!E27</f>
        <v>0</v>
      </c>
      <c r="F40" s="20">
        <f t="shared" si="1"/>
        <v>0.89650000000000041</v>
      </c>
      <c r="G40" s="21">
        <f t="shared" si="0"/>
        <v>1.2814720541381363E-2</v>
      </c>
      <c r="H40" s="21">
        <f>'[1]Calcul sous cat &gt;20'!N48/100</f>
        <v>1.190279066741139E-2</v>
      </c>
      <c r="I40" s="488"/>
      <c r="J40" s="488"/>
    </row>
    <row r="41" spans="1:10" s="1" customFormat="1" ht="15" customHeight="1" x14ac:dyDescent="0.2">
      <c r="A41" s="486"/>
      <c r="B41" s="18" t="s">
        <v>54</v>
      </c>
      <c r="C41" s="19">
        <f>'[1]F 4 TRI _ Granulo'!K28</f>
        <v>2.6772142857142862</v>
      </c>
      <c r="D41" s="20">
        <f>'[1]F 4 TRI _ Granulo'!H28</f>
        <v>0.33000000000000007</v>
      </c>
      <c r="E41" s="20">
        <f>'[1]F 4 TRI _ Granulo'!E28</f>
        <v>0</v>
      </c>
      <c r="F41" s="20">
        <f t="shared" si="1"/>
        <v>3.0072142857142863</v>
      </c>
      <c r="G41" s="21">
        <f t="shared" si="0"/>
        <v>4.2985622620723175E-2</v>
      </c>
      <c r="H41" s="21">
        <f>'[1]Calcul sous cat &gt;20'!N49/100</f>
        <v>4.4645707344901669E-2</v>
      </c>
      <c r="I41" s="488"/>
      <c r="J41" s="488"/>
    </row>
    <row r="42" spans="1:10" s="1" customFormat="1" ht="27" customHeight="1" x14ac:dyDescent="0.2">
      <c r="A42" s="487"/>
      <c r="B42" s="18" t="s">
        <v>55</v>
      </c>
      <c r="C42" s="19">
        <f>'[1]F 4 TRI _ Granulo'!K29</f>
        <v>0.94064285714285778</v>
      </c>
      <c r="D42" s="20">
        <f>'[1]F 4 TRI _ Granulo'!H29</f>
        <v>0.9700000000000002</v>
      </c>
      <c r="E42" s="20">
        <f>'[1]F 4 TRI _ Granulo'!E29</f>
        <v>0</v>
      </c>
      <c r="F42" s="20">
        <f t="shared" si="1"/>
        <v>1.910642857142858</v>
      </c>
      <c r="G42" s="21">
        <f t="shared" si="0"/>
        <v>2.731104770627122E-2</v>
      </c>
      <c r="H42" s="21">
        <f>'[1]Calcul sous cat &gt;20'!N50/100</f>
        <v>2.8367952002155705E-2</v>
      </c>
      <c r="I42" s="488"/>
      <c r="J42" s="488"/>
    </row>
    <row r="43" spans="1:10" s="1" customFormat="1" ht="26.25" customHeight="1" x14ac:dyDescent="0.2">
      <c r="A43" s="244" t="s">
        <v>56</v>
      </c>
      <c r="B43" s="18" t="s">
        <v>56</v>
      </c>
      <c r="C43" s="19">
        <f>'[1]F 4 TRI _ Granulo'!K30</f>
        <v>0.21707142857142872</v>
      </c>
      <c r="D43" s="20">
        <f>'[1]F 4 TRI _ Granulo'!H30</f>
        <v>0.53000000000000025</v>
      </c>
      <c r="E43" s="20">
        <f>'[1]F 4 TRI _ Granulo'!E30</f>
        <v>0</v>
      </c>
      <c r="F43" s="20">
        <f t="shared" si="1"/>
        <v>0.74707142857142894</v>
      </c>
      <c r="G43" s="21">
        <f t="shared" si="0"/>
        <v>1.067876361583202E-2</v>
      </c>
      <c r="H43" s="21">
        <f>J43</f>
        <v>9.8874500529037655E-3</v>
      </c>
      <c r="I43" s="245">
        <f>G43</f>
        <v>1.067876361583202E-2</v>
      </c>
      <c r="J43" s="245">
        <f>'[1]Calcul sous cat &gt;20'!N15/100</f>
        <v>9.8874500529037655E-3</v>
      </c>
    </row>
    <row r="44" spans="1:10" s="1" customFormat="1" ht="15" customHeight="1" x14ac:dyDescent="0.2">
      <c r="A44" s="485" t="s">
        <v>57</v>
      </c>
      <c r="B44" s="18" t="s">
        <v>58</v>
      </c>
      <c r="C44" s="19">
        <f>'[1]F 4 TRI _ Granulo'!K31</f>
        <v>5.2820714285714274</v>
      </c>
      <c r="D44" s="20">
        <f>'[1]F 4 TRI _ Granulo'!H31</f>
        <v>1.5700000000000003</v>
      </c>
      <c r="E44" s="20">
        <f>'[1]F 4 TRI _ Granulo'!E31</f>
        <v>0</v>
      </c>
      <c r="F44" s="20">
        <f t="shared" si="1"/>
        <v>6.8520714285714277</v>
      </c>
      <c r="G44" s="21">
        <f t="shared" si="0"/>
        <v>9.7944651965116092E-2</v>
      </c>
      <c r="H44" s="21">
        <f>G44*J44/I44</f>
        <v>8.8690888912981047E-2</v>
      </c>
      <c r="I44" s="488">
        <f>G44+G45</f>
        <v>0.1134589280089604</v>
      </c>
      <c r="J44" s="488">
        <f>'[1]Calcul sous cat &gt;20'!N16/100</f>
        <v>0.10273938370634643</v>
      </c>
    </row>
    <row r="45" spans="1:10" s="1" customFormat="1" ht="15" customHeight="1" x14ac:dyDescent="0.2">
      <c r="A45" s="487"/>
      <c r="B45" s="18" t="s">
        <v>59</v>
      </c>
      <c r="C45" s="19">
        <f>'[1]F 4 TRI _ Granulo'!K32</f>
        <v>1.0853571428571436</v>
      </c>
      <c r="D45" s="20">
        <f>'[1]F 4 TRI _ Granulo'!H32</f>
        <v>0</v>
      </c>
      <c r="E45" s="20">
        <f>'[1]F 4 TRI _ Granulo'!E32</f>
        <v>0</v>
      </c>
      <c r="F45" s="20">
        <f t="shared" si="1"/>
        <v>1.0853571428571436</v>
      </c>
      <c r="G45" s="21">
        <f t="shared" si="0"/>
        <v>1.5514276043844304E-2</v>
      </c>
      <c r="H45" s="21">
        <f>G45*J44/I44</f>
        <v>1.4048494793365384E-2</v>
      </c>
      <c r="I45" s="488"/>
      <c r="J45" s="488"/>
    </row>
    <row r="46" spans="1:10" s="1" customFormat="1" ht="15" customHeight="1" x14ac:dyDescent="0.2">
      <c r="A46" s="485" t="s">
        <v>60</v>
      </c>
      <c r="B46" s="18" t="s">
        <v>61</v>
      </c>
      <c r="C46" s="19">
        <f>'[1]F 4 TRI _ Granulo'!K33</f>
        <v>0.65121428571428619</v>
      </c>
      <c r="D46" s="20">
        <f>'[1]F 4 TRI _ Granulo'!H33</f>
        <v>1.87</v>
      </c>
      <c r="E46" s="20">
        <f>'[1]F 4 TRI _ Granulo'!E33</f>
        <v>0</v>
      </c>
      <c r="F46" s="20">
        <f t="shared" si="1"/>
        <v>2.5212142857142865</v>
      </c>
      <c r="G46" s="21">
        <f t="shared" si="0"/>
        <v>3.6038657553114327E-2</v>
      </c>
      <c r="H46" s="21">
        <f t="shared" ref="H46:H51" si="2">G46*$J$46/$I$46</f>
        <v>3.3697309341242439E-2</v>
      </c>
      <c r="I46" s="488">
        <f>G46+G47+G50+G51+G48+G49</f>
        <v>4.0516305305024779E-2</v>
      </c>
      <c r="J46" s="488">
        <f>'[1]Calcul sous cat &gt;20'!N17/100</f>
        <v>3.7884054676993892E-2</v>
      </c>
    </row>
    <row r="47" spans="1:10" s="1" customFormat="1" ht="15" customHeight="1" x14ac:dyDescent="0.2">
      <c r="A47" s="486"/>
      <c r="B47" s="18" t="s">
        <v>62</v>
      </c>
      <c r="C47" s="19">
        <f>'[1]F 4 TRI _ Granulo'!K34</f>
        <v>0.21707142857142872</v>
      </c>
      <c r="D47" s="20">
        <f>'[1]F 4 TRI _ Granulo'!H34</f>
        <v>5.0000000000000044E-2</v>
      </c>
      <c r="E47" s="20">
        <f>'[1]F 4 TRI _ Granulo'!E34</f>
        <v>0</v>
      </c>
      <c r="F47" s="20">
        <f t="shared" si="1"/>
        <v>0.26707142857142874</v>
      </c>
      <c r="G47" s="21">
        <f t="shared" si="0"/>
        <v>3.8175635490578378E-3</v>
      </c>
      <c r="H47" s="21">
        <f t="shared" si="2"/>
        <v>3.5695452765647367E-3</v>
      </c>
      <c r="I47" s="488"/>
      <c r="J47" s="488"/>
    </row>
    <row r="48" spans="1:10" s="1" customFormat="1" ht="15" customHeight="1" x14ac:dyDescent="0.2">
      <c r="A48" s="486"/>
      <c r="B48" s="18" t="s">
        <v>63</v>
      </c>
      <c r="C48" s="19">
        <f>'[1]F 4 TRI _ Granulo'!K35</f>
        <v>0</v>
      </c>
      <c r="D48" s="20">
        <f>'[1]F 4 TRI _ Granulo'!H35</f>
        <v>0</v>
      </c>
      <c r="E48" s="20">
        <f>'[1]F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488"/>
      <c r="J48" s="488"/>
    </row>
    <row r="49" spans="1:10" s="1" customFormat="1" ht="15" customHeight="1" x14ac:dyDescent="0.2">
      <c r="A49" s="486"/>
      <c r="B49" s="18" t="s">
        <v>64</v>
      </c>
      <c r="C49" s="19">
        <f>'[1]F 4 TRI _ Granulo'!K36</f>
        <v>0</v>
      </c>
      <c r="D49" s="20">
        <f>'[1]F 4 TRI _ Granulo'!H36</f>
        <v>0</v>
      </c>
      <c r="E49" s="20">
        <f>'[1]F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488"/>
      <c r="J49" s="488"/>
    </row>
    <row r="50" spans="1:10" s="1" customFormat="1" ht="15" customHeight="1" x14ac:dyDescent="0.2">
      <c r="A50" s="486"/>
      <c r="B50" s="18" t="s">
        <v>65</v>
      </c>
      <c r="C50" s="19">
        <f>'[1]F 4 TRI _ Granulo'!K37</f>
        <v>3.6178571428572261E-2</v>
      </c>
      <c r="D50" s="20">
        <f>'[1]F 4 TRI _ Granulo'!H37</f>
        <v>1.0000000000000009E-2</v>
      </c>
      <c r="E50" s="20">
        <f>'[1]F 4 TRI _ Granulo'!E37</f>
        <v>0</v>
      </c>
      <c r="F50" s="20">
        <f t="shared" si="1"/>
        <v>4.617857142857227E-2</v>
      </c>
      <c r="G50" s="21">
        <f t="shared" si="0"/>
        <v>6.6008420285261721E-4</v>
      </c>
      <c r="H50" s="21">
        <f t="shared" si="2"/>
        <v>6.1720005918671915E-4</v>
      </c>
      <c r="I50" s="488"/>
      <c r="J50" s="488"/>
    </row>
    <row r="51" spans="1:10" s="1" customFormat="1" ht="15" customHeight="1" x14ac:dyDescent="0.2">
      <c r="A51" s="487"/>
      <c r="B51" s="18" t="s">
        <v>66</v>
      </c>
      <c r="C51" s="19">
        <f>'[1]F 4 TRI _ Granulo'!K38</f>
        <v>0</v>
      </c>
      <c r="D51" s="20">
        <f>'[1]F 4 TRI _ Granulo'!H38</f>
        <v>0</v>
      </c>
      <c r="E51" s="20">
        <f>'[1]F 4 TRI _ Granulo'!E38</f>
        <v>0</v>
      </c>
      <c r="F51" s="20">
        <f t="shared" si="1"/>
        <v>0</v>
      </c>
      <c r="G51" s="21">
        <f t="shared" si="0"/>
        <v>0</v>
      </c>
      <c r="H51" s="21">
        <f t="shared" si="2"/>
        <v>0</v>
      </c>
      <c r="I51" s="488"/>
      <c r="J51" s="488"/>
    </row>
    <row r="52" spans="1:10" s="1" customFormat="1" ht="15" customHeight="1" x14ac:dyDescent="0.2">
      <c r="A52" s="247" t="s">
        <v>67</v>
      </c>
      <c r="B52" s="18" t="s">
        <v>68</v>
      </c>
      <c r="C52" s="19">
        <f>'[1]F 4 TRI _ Granulo'!K39</f>
        <v>0</v>
      </c>
      <c r="D52" s="20">
        <f>'[1]F 4 TRI _ Granulo'!H39</f>
        <v>0</v>
      </c>
      <c r="E52" s="20">
        <f>'[1]F 4 TRI _ Granulo'!E39</f>
        <v>0</v>
      </c>
      <c r="F52" s="20">
        <f t="shared" si="1"/>
        <v>0</v>
      </c>
      <c r="G52" s="21">
        <f t="shared" si="0"/>
        <v>0</v>
      </c>
      <c r="H52" s="21">
        <f>J52</f>
        <v>0</v>
      </c>
      <c r="I52" s="248">
        <f>G52</f>
        <v>0</v>
      </c>
      <c r="J52" s="248">
        <f>'[1]Calcul sous cat &gt;20'!N18/100</f>
        <v>0</v>
      </c>
    </row>
    <row r="53" spans="1:10" s="1" customFormat="1" ht="15" customHeight="1" x14ac:dyDescent="0.2">
      <c r="A53" s="485" t="s">
        <v>69</v>
      </c>
      <c r="B53" s="18" t="s">
        <v>121</v>
      </c>
      <c r="C53" s="19">
        <f>'[1]F 4 TRI _ Granulo'!K40</f>
        <v>0</v>
      </c>
      <c r="D53" s="20">
        <f>'[1]F 4 TRI _ Granulo'!H40</f>
        <v>0</v>
      </c>
      <c r="E53" s="20">
        <f>'[1]F 4 TRI _ Granulo'!E40</f>
        <v>0</v>
      </c>
      <c r="F53" s="20">
        <f t="shared" si="1"/>
        <v>0</v>
      </c>
      <c r="G53" s="21">
        <f t="shared" si="0"/>
        <v>0</v>
      </c>
      <c r="H53" s="249">
        <v>0</v>
      </c>
      <c r="I53" s="488">
        <f>SUM(G53:G62)</f>
        <v>0</v>
      </c>
      <c r="J53" s="488">
        <f>'[1]Calcul sous cat &gt;20'!N19/100</f>
        <v>0</v>
      </c>
    </row>
    <row r="54" spans="1:10" s="1" customFormat="1" ht="15" customHeight="1" x14ac:dyDescent="0.2">
      <c r="A54" s="486"/>
      <c r="B54" s="18" t="s">
        <v>70</v>
      </c>
      <c r="C54" s="19">
        <f>'[1]F 4 TRI _ Granulo'!K41</f>
        <v>0</v>
      </c>
      <c r="D54" s="20">
        <f>'[1]F 4 TRI _ Granulo'!H41</f>
        <v>0</v>
      </c>
      <c r="E54" s="20">
        <f>'[1]F 4 TRI _ Granulo'!E41</f>
        <v>0</v>
      </c>
      <c r="F54" s="20">
        <f t="shared" si="1"/>
        <v>0</v>
      </c>
      <c r="G54" s="21">
        <f t="shared" si="0"/>
        <v>0</v>
      </c>
      <c r="H54" s="21">
        <v>0</v>
      </c>
      <c r="I54" s="488"/>
      <c r="J54" s="488"/>
    </row>
    <row r="55" spans="1:10" s="1" customFormat="1" ht="15" customHeight="1" x14ac:dyDescent="0.2">
      <c r="A55" s="486"/>
      <c r="B55" s="18" t="s">
        <v>71</v>
      </c>
      <c r="C55" s="19">
        <f>'[1]F 4 TRI _ Granulo'!K42</f>
        <v>0</v>
      </c>
      <c r="D55" s="20">
        <f>'[1]F 4 TRI _ Granulo'!H42</f>
        <v>0</v>
      </c>
      <c r="E55" s="20">
        <f>'[1]F 4 TRI _ Granulo'!E42</f>
        <v>0</v>
      </c>
      <c r="F55" s="20">
        <f>SUM(C55:E55)</f>
        <v>0</v>
      </c>
      <c r="G55" s="21">
        <f t="shared" si="0"/>
        <v>0</v>
      </c>
      <c r="H55" s="21">
        <v>0</v>
      </c>
      <c r="I55" s="488"/>
      <c r="J55" s="488"/>
    </row>
    <row r="56" spans="1:10" s="1" customFormat="1" ht="15" customHeight="1" x14ac:dyDescent="0.2">
      <c r="A56" s="486"/>
      <c r="B56" s="18" t="s">
        <v>72</v>
      </c>
      <c r="C56" s="19">
        <f>'[1]F 4 TRI _ Granulo'!K43</f>
        <v>0</v>
      </c>
      <c r="D56" s="20">
        <f>'[1]F 4 TRI _ Granulo'!H43</f>
        <v>0</v>
      </c>
      <c r="E56" s="20">
        <f>'[1]F 4 TRI _ Granulo'!E43</f>
        <v>0</v>
      </c>
      <c r="F56" s="20">
        <f t="shared" si="1"/>
        <v>0</v>
      </c>
      <c r="G56" s="21">
        <f>F56/$F$64</f>
        <v>0</v>
      </c>
      <c r="H56" s="21">
        <v>0</v>
      </c>
      <c r="I56" s="488"/>
      <c r="J56" s="488"/>
    </row>
    <row r="57" spans="1:10" s="1" customFormat="1" ht="17.25" customHeight="1" x14ac:dyDescent="0.2">
      <c r="A57" s="486"/>
      <c r="B57" s="18" t="s">
        <v>122</v>
      </c>
      <c r="C57" s="19">
        <f>'[1]F 4 TRI _ Granulo'!K44</f>
        <v>0</v>
      </c>
      <c r="D57" s="20">
        <f>'[1]F 4 TRI _ Granulo'!H44</f>
        <v>0</v>
      </c>
      <c r="E57" s="20">
        <f>'[1]F 4 TRI _ Granulo'!E44</f>
        <v>0</v>
      </c>
      <c r="F57" s="20">
        <f t="shared" si="1"/>
        <v>0</v>
      </c>
      <c r="G57" s="21">
        <f t="shared" ref="G57:G62" si="3">F57/$F$64</f>
        <v>0</v>
      </c>
      <c r="H57" s="21">
        <v>0</v>
      </c>
      <c r="I57" s="488"/>
      <c r="J57" s="488"/>
    </row>
    <row r="58" spans="1:10" s="1" customFormat="1" ht="17.25" customHeight="1" x14ac:dyDescent="0.2">
      <c r="A58" s="486"/>
      <c r="B58" s="18" t="s">
        <v>123</v>
      </c>
      <c r="C58" s="19">
        <f>'[1]F 4 TRI _ Granulo'!K45</f>
        <v>0</v>
      </c>
      <c r="D58" s="20">
        <f>'[1]F 4 TRI _ Granulo'!H45</f>
        <v>0</v>
      </c>
      <c r="E58" s="20">
        <f>'[1]F 4 TRI _ Granulo'!E45</f>
        <v>0</v>
      </c>
      <c r="F58" s="20">
        <f t="shared" si="1"/>
        <v>0</v>
      </c>
      <c r="G58" s="21">
        <f t="shared" si="3"/>
        <v>0</v>
      </c>
      <c r="H58" s="21">
        <v>0</v>
      </c>
      <c r="I58" s="488"/>
      <c r="J58" s="488"/>
    </row>
    <row r="59" spans="1:10" s="1" customFormat="1" ht="25.5" customHeight="1" x14ac:dyDescent="0.2">
      <c r="A59" s="486"/>
      <c r="B59" s="18" t="s">
        <v>124</v>
      </c>
      <c r="C59" s="19">
        <f>'[1]F 4 TRI _ Granulo'!K46</f>
        <v>0</v>
      </c>
      <c r="D59" s="20">
        <f>'[1]F 4 TRI _ Granulo'!H46</f>
        <v>0</v>
      </c>
      <c r="E59" s="20">
        <f>'[1]F 4 TRI _ Granulo'!E46</f>
        <v>0</v>
      </c>
      <c r="F59" s="20">
        <f t="shared" si="1"/>
        <v>0</v>
      </c>
      <c r="G59" s="21">
        <f t="shared" si="3"/>
        <v>0</v>
      </c>
      <c r="H59" s="21">
        <v>0</v>
      </c>
      <c r="I59" s="488"/>
      <c r="J59" s="488"/>
    </row>
    <row r="60" spans="1:10" s="1" customFormat="1" ht="12.75" x14ac:dyDescent="0.2">
      <c r="A60" s="486"/>
      <c r="B60" s="18" t="s">
        <v>125</v>
      </c>
      <c r="C60" s="19">
        <f>'[1]F 4 TRI _ Granulo'!K47</f>
        <v>0</v>
      </c>
      <c r="D60" s="20">
        <f>'[1]F 4 TRI _ Granulo'!H47</f>
        <v>0</v>
      </c>
      <c r="E60" s="20">
        <f>'[1]F 4 TRI _ Granulo'!E47</f>
        <v>0</v>
      </c>
      <c r="F60" s="20">
        <f t="shared" si="1"/>
        <v>0</v>
      </c>
      <c r="G60" s="21">
        <f t="shared" si="3"/>
        <v>0</v>
      </c>
      <c r="H60" s="21">
        <v>0</v>
      </c>
      <c r="I60" s="488"/>
      <c r="J60" s="488"/>
    </row>
    <row r="61" spans="1:10" s="1" customFormat="1" ht="12.75" x14ac:dyDescent="0.2">
      <c r="A61" s="486"/>
      <c r="B61" s="18" t="s">
        <v>126</v>
      </c>
      <c r="C61" s="19">
        <f>'[1]F 4 TRI _ Granulo'!K48</f>
        <v>0</v>
      </c>
      <c r="D61" s="20">
        <f>'[1]F 4 TRI _ Granulo'!H48</f>
        <v>0</v>
      </c>
      <c r="E61" s="20">
        <f>'[1]F 4 TRI _ Granulo'!E48</f>
        <v>0</v>
      </c>
      <c r="F61" s="20">
        <f t="shared" si="1"/>
        <v>0</v>
      </c>
      <c r="G61" s="21">
        <f t="shared" si="3"/>
        <v>0</v>
      </c>
      <c r="H61" s="21">
        <v>0</v>
      </c>
      <c r="I61" s="488"/>
      <c r="J61" s="488"/>
    </row>
    <row r="62" spans="1:10" x14ac:dyDescent="0.25">
      <c r="A62" s="498"/>
      <c r="B62" s="18" t="s">
        <v>73</v>
      </c>
      <c r="C62" s="19">
        <f>'[1]F 4 TRI _ Granulo'!K49</f>
        <v>0</v>
      </c>
      <c r="D62" s="20">
        <f>'[1]F 4 TRI _ Granulo'!H49</f>
        <v>0</v>
      </c>
      <c r="E62" s="20">
        <f>'[1]F 4 TRI _ Granulo'!E49</f>
        <v>0</v>
      </c>
      <c r="F62" s="20">
        <f t="shared" si="1"/>
        <v>0</v>
      </c>
      <c r="G62" s="21">
        <f t="shared" si="3"/>
        <v>0</v>
      </c>
      <c r="H62" s="21">
        <v>0</v>
      </c>
      <c r="I62" s="488"/>
      <c r="J62" s="488"/>
    </row>
    <row r="63" spans="1:10" x14ac:dyDescent="0.25">
      <c r="A63" s="22" t="s">
        <v>74</v>
      </c>
      <c r="B63" s="23">
        <f>'[1]F 3 _ Criblage et Tri'!C27+'[1]F 3 _ Criblage et Tri'!D27</f>
        <v>4.0200000000000005</v>
      </c>
      <c r="C63" s="19">
        <f>'[1]F 4 TRI _ Granulo'!K50</f>
        <v>1.0130000000000006</v>
      </c>
      <c r="D63" s="20">
        <f>'[1]F 4 TRI _ Granulo'!H50</f>
        <v>0.10000000000000009</v>
      </c>
      <c r="E63" s="20">
        <f>'[1]F 4 TRI _ Granulo'!E50</f>
        <v>0</v>
      </c>
      <c r="F63" s="19">
        <f>SUM(B63:E63)</f>
        <v>5.1330000000000009</v>
      </c>
      <c r="G63" s="21">
        <f t="shared" si="0"/>
        <v>7.3371958214066391E-2</v>
      </c>
      <c r="H63" s="21">
        <f>J63</f>
        <v>3.5976173520533311E-2</v>
      </c>
      <c r="I63" s="24">
        <f>G63</f>
        <v>7.3371958214066391E-2</v>
      </c>
      <c r="J63" s="24">
        <f>'[1]Calcul sous cat &gt;20'!N20/100</f>
        <v>3.5976173520533311E-2</v>
      </c>
    </row>
    <row r="64" spans="1:10" x14ac:dyDescent="0.25">
      <c r="A64" s="25" t="s">
        <v>25</v>
      </c>
      <c r="B64" s="90">
        <f>B63</f>
        <v>4.0200000000000005</v>
      </c>
      <c r="C64" s="19">
        <f>SUM(C18:C63)</f>
        <v>41.858607142857139</v>
      </c>
      <c r="D64" s="19">
        <f>SUM(D18:D63)</f>
        <v>24.080000000000009</v>
      </c>
      <c r="E64" s="19">
        <f>SUM(E18:E63)</f>
        <v>0</v>
      </c>
      <c r="F64" s="19">
        <f>SUM(B64:E64)</f>
        <v>69.958607142857147</v>
      </c>
      <c r="G64" s="21">
        <f t="shared" si="0"/>
        <v>1</v>
      </c>
      <c r="H64" s="21">
        <f>SUM(H18:H63)</f>
        <v>1.0000000000000002</v>
      </c>
      <c r="I64" s="24">
        <f>SUM(I18:I63)</f>
        <v>1</v>
      </c>
      <c r="J64" s="24">
        <f>SUM(J18:J63)</f>
        <v>1</v>
      </c>
    </row>
    <row r="65" spans="1:10" ht="26.25" x14ac:dyDescent="0.25">
      <c r="A65" s="26" t="s">
        <v>75</v>
      </c>
      <c r="B65" s="235">
        <f>B64/$F$64</f>
        <v>5.7462550559233751E-2</v>
      </c>
      <c r="C65" s="235">
        <f>C64/$F$64</f>
        <v>0.59833391275759484</v>
      </c>
      <c r="D65" s="235">
        <f>D64/$F$64</f>
        <v>0.34420353668317144</v>
      </c>
      <c r="E65" s="235">
        <f>E64/$F$64</f>
        <v>0</v>
      </c>
      <c r="F65" s="235">
        <f>F64/$F$64</f>
        <v>1</v>
      </c>
      <c r="G65" s="1"/>
      <c r="H65" s="1"/>
      <c r="I65" s="1"/>
      <c r="J65" s="1"/>
    </row>
  </sheetData>
  <mergeCells count="40">
    <mergeCell ref="A53:A62"/>
    <mergeCell ref="A44:A45"/>
    <mergeCell ref="I44:I45"/>
    <mergeCell ref="J44:J45"/>
    <mergeCell ref="A46:A51"/>
    <mergeCell ref="I46:I51"/>
    <mergeCell ref="J46:J51"/>
    <mergeCell ref="I53:I62"/>
    <mergeCell ref="J53:J62"/>
    <mergeCell ref="A36:A37"/>
    <mergeCell ref="I36:I37"/>
    <mergeCell ref="J36:J37"/>
    <mergeCell ref="A38:A42"/>
    <mergeCell ref="I38:I42"/>
    <mergeCell ref="J38:J42"/>
    <mergeCell ref="A28:A30"/>
    <mergeCell ref="I28:I30"/>
    <mergeCell ref="J28:J30"/>
    <mergeCell ref="A31:A34"/>
    <mergeCell ref="I31:I34"/>
    <mergeCell ref="J31:J34"/>
    <mergeCell ref="I18:I22"/>
    <mergeCell ref="J18:J22"/>
    <mergeCell ref="A23:A27"/>
    <mergeCell ref="I23:I27"/>
    <mergeCell ref="J23:J27"/>
    <mergeCell ref="A18:A22"/>
    <mergeCell ref="B2:F2"/>
    <mergeCell ref="D12:F12"/>
    <mergeCell ref="A14:J14"/>
    <mergeCell ref="G16:G17"/>
    <mergeCell ref="H16:H17"/>
    <mergeCell ref="I16:I17"/>
    <mergeCell ref="J16:J17"/>
    <mergeCell ref="B11:C11"/>
    <mergeCell ref="D11:F11"/>
    <mergeCell ref="B3:F3"/>
    <mergeCell ref="A7:J7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62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sqref="A1:J23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476" t="str">
        <f>'[12]F 1 _ Echant et Séchage'!D5</f>
        <v>ISS-P15-PC-BAN</v>
      </c>
      <c r="C2" s="476"/>
      <c r="D2" s="476"/>
      <c r="E2" s="476"/>
      <c r="F2" s="476"/>
      <c r="G2" s="2"/>
      <c r="H2" s="2"/>
      <c r="I2" s="2"/>
      <c r="J2" s="2"/>
    </row>
    <row r="3" spans="1:10" x14ac:dyDescent="0.25">
      <c r="A3" s="1" t="s">
        <v>1</v>
      </c>
      <c r="B3" s="483" t="str">
        <f>'[12]F 1 _ Echant et Séchage'!D6</f>
        <v>BA-126-ZV - CHATILLON</v>
      </c>
      <c r="C3" s="483"/>
      <c r="D3" s="483"/>
      <c r="E3" s="483"/>
      <c r="F3" s="483"/>
      <c r="G3" s="3"/>
      <c r="H3" s="3"/>
      <c r="I3" s="3"/>
      <c r="J3" s="3"/>
    </row>
    <row r="4" spans="1:10" x14ac:dyDescent="0.25">
      <c r="A4" s="1" t="s">
        <v>2</v>
      </c>
      <c r="B4" s="243"/>
      <c r="C4" s="243" t="str">
        <f>'[12]F 1 _ Echant et Séchage'!D8</f>
        <v>ISSEANE</v>
      </c>
      <c r="D4" s="243"/>
      <c r="E4" s="243"/>
      <c r="F4" s="243"/>
      <c r="G4" s="3"/>
      <c r="H4" s="3"/>
      <c r="I4" s="3"/>
      <c r="J4" s="3"/>
    </row>
    <row r="5" spans="1:10" x14ac:dyDescent="0.25">
      <c r="A5" s="1" t="s">
        <v>3</v>
      </c>
      <c r="B5" s="243"/>
      <c r="C5" s="243" t="str">
        <f>'[12]F 1 _ Echant et Séchage'!E15</f>
        <v>sec, nuageux</v>
      </c>
      <c r="D5" s="243"/>
      <c r="E5" s="243"/>
      <c r="F5" s="243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478" t="s">
        <v>4</v>
      </c>
      <c r="B7" s="478"/>
      <c r="C7" s="478"/>
      <c r="D7" s="478"/>
      <c r="E7" s="478"/>
      <c r="F7" s="478"/>
      <c r="G7" s="478"/>
      <c r="H7" s="478"/>
      <c r="I7" s="478"/>
      <c r="J7" s="478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'[12]F 1 _ Echant et Séchage'!B12</f>
        <v>42158</v>
      </c>
      <c r="C9" s="1"/>
      <c r="D9" s="477" t="s">
        <v>6</v>
      </c>
      <c r="E9" s="477"/>
      <c r="F9" s="477"/>
      <c r="G9" s="6">
        <f>'[12]F 1 _ Echant et Séchage'!G19</f>
        <v>125.16</v>
      </c>
      <c r="H9" s="6"/>
      <c r="I9" s="7"/>
      <c r="J9" s="1" t="s">
        <v>7</v>
      </c>
    </row>
    <row r="10" spans="1:10" x14ac:dyDescent="0.25">
      <c r="A10" s="1" t="s">
        <v>8</v>
      </c>
      <c r="B10" s="8" t="str">
        <f>'[12]F 1 _ Echant et Séchage'!E12</f>
        <v>8H25</v>
      </c>
      <c r="C10" s="1"/>
      <c r="D10" s="477" t="s">
        <v>9</v>
      </c>
      <c r="E10" s="477"/>
      <c r="F10" s="477"/>
      <c r="G10" s="243">
        <f>'[12]F 1 _ Echant et Séchage'!H26</f>
        <v>0.42</v>
      </c>
      <c r="H10" s="243"/>
      <c r="I10" s="9"/>
      <c r="J10" s="1" t="s">
        <v>10</v>
      </c>
    </row>
    <row r="11" spans="1:10" x14ac:dyDescent="0.25">
      <c r="A11" s="1"/>
      <c r="B11" s="477"/>
      <c r="C11" s="477"/>
      <c r="D11" s="477" t="s">
        <v>11</v>
      </c>
      <c r="E11" s="477"/>
      <c r="F11" s="477"/>
      <c r="G11" s="10">
        <f>G9/1000/G10</f>
        <v>0.29799999999999999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477" t="s">
        <v>13</v>
      </c>
      <c r="E12" s="477"/>
      <c r="F12" s="477"/>
      <c r="G12" s="231">
        <f>'[12]F 1 _ Echant et Séchage'!D51</f>
        <v>0.41770533716842434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478" t="s">
        <v>14</v>
      </c>
      <c r="B14" s="478"/>
      <c r="C14" s="478"/>
      <c r="D14" s="478"/>
      <c r="E14" s="478"/>
      <c r="F14" s="478"/>
      <c r="G14" s="478"/>
      <c r="H14" s="478"/>
      <c r="I14" s="478"/>
      <c r="J14" s="478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479" t="s">
        <v>16</v>
      </c>
      <c r="H16" s="559"/>
      <c r="I16" s="560"/>
      <c r="J16" s="559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0"/>
      <c r="H17" s="559"/>
      <c r="I17" s="560"/>
      <c r="J17" s="559"/>
    </row>
    <row r="18" spans="1:10" ht="25.5" x14ac:dyDescent="0.25">
      <c r="A18" s="246" t="s">
        <v>109</v>
      </c>
      <c r="B18" s="18" t="s">
        <v>111</v>
      </c>
      <c r="C18" s="19">
        <f>'[12]F 4 TRI _ Granulo'!K5</f>
        <v>25.061812297734615</v>
      </c>
      <c r="D18" s="20">
        <f>'[12]F 4 TRI _ Granulo'!H5</f>
        <v>28.08</v>
      </c>
      <c r="E18" s="20">
        <f>'[12]F 4 TRI _ Granulo'!E5</f>
        <v>0</v>
      </c>
      <c r="F18" s="20">
        <f>SUM(C18:E18)</f>
        <v>53.141812297734617</v>
      </c>
      <c r="G18" s="21">
        <f>F18/$F$21</f>
        <v>0.7340416496426978</v>
      </c>
      <c r="H18" s="98"/>
      <c r="I18" s="99"/>
      <c r="J18" s="99"/>
    </row>
    <row r="19" spans="1:10" ht="25.5" x14ac:dyDescent="0.25">
      <c r="A19" s="244" t="s">
        <v>110</v>
      </c>
      <c r="B19" s="18" t="s">
        <v>112</v>
      </c>
      <c r="C19" s="19">
        <f>'[12]F 4 TRI _ Granulo'!K6</f>
        <v>3.5802588996763758</v>
      </c>
      <c r="D19" s="20">
        <f>'[12]F 4 TRI _ Granulo'!H6</f>
        <v>5.44</v>
      </c>
      <c r="E19" s="20">
        <f>'[12]F 4 TRI _ Granulo'!E6</f>
        <v>0</v>
      </c>
      <c r="F19" s="20">
        <f>SUM(C19:E19)</f>
        <v>9.0202588996763762</v>
      </c>
      <c r="G19" s="21">
        <f>F19/$F$21</f>
        <v>0.12459578318154066</v>
      </c>
      <c r="H19" s="98"/>
      <c r="I19" s="100"/>
      <c r="J19" s="100"/>
    </row>
    <row r="20" spans="1:10" x14ac:dyDescent="0.25">
      <c r="A20" s="22" t="s">
        <v>74</v>
      </c>
      <c r="B20" s="23">
        <f>'[12]F 3 _ Criblage et Tri'!C27+'[12]F 3 _ Criblage et Tri'!D27</f>
        <v>9.24</v>
      </c>
      <c r="C20" s="19">
        <f>'[12]F 4 TRI _ Granulo'!K7</f>
        <v>0.77411003236246012</v>
      </c>
      <c r="D20" s="20">
        <f>'[12]F 4 TRI _ Granulo'!H7</f>
        <v>0.2200000000000002</v>
      </c>
      <c r="E20" s="20">
        <f>'[12]F 4 TRI _ Granulo'!E7</f>
        <v>0</v>
      </c>
      <c r="F20" s="19">
        <f>SUM(B20:E20)</f>
        <v>10.234110032362461</v>
      </c>
      <c r="G20" s="21">
        <f>F20/$F$21</f>
        <v>0.14136256717576162</v>
      </c>
      <c r="H20" s="98"/>
      <c r="I20" s="101"/>
      <c r="J20" s="101"/>
    </row>
    <row r="21" spans="1:10" x14ac:dyDescent="0.25">
      <c r="A21" s="25" t="s">
        <v>25</v>
      </c>
      <c r="B21" s="90">
        <f>B20</f>
        <v>9.24</v>
      </c>
      <c r="C21" s="19">
        <f>SUM(C18:C20)</f>
        <v>29.416181229773454</v>
      </c>
      <c r="D21" s="19">
        <f>SUM(D18:D20)</f>
        <v>33.739999999999995</v>
      </c>
      <c r="E21" s="19">
        <f>SUM(E18:E20)</f>
        <v>0</v>
      </c>
      <c r="F21" s="19">
        <f>SUM(B21:E21)</f>
        <v>72.396181229773447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35">
        <f>B21/$F$21</f>
        <v>0.12763104134835201</v>
      </c>
      <c r="C22" s="235">
        <f>C21/$F$21</f>
        <v>0.40632227736448395</v>
      </c>
      <c r="D22" s="235">
        <f>D21/$F$21</f>
        <v>0.46604668128716409</v>
      </c>
      <c r="E22" s="235">
        <f>E21/$F$21</f>
        <v>0</v>
      </c>
      <c r="F22" s="235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</sheetData>
  <mergeCells count="13">
    <mergeCell ref="B2:F2"/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sqref="A1:J22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476" t="str">
        <f>'[13]F 1 _ Echant et Séchage'!D5</f>
        <v>ISS-P15-PC-PAR</v>
      </c>
      <c r="C2" s="476"/>
      <c r="D2" s="476"/>
      <c r="E2" s="476"/>
      <c r="F2" s="476"/>
      <c r="G2" s="2"/>
      <c r="H2" s="2"/>
      <c r="I2" s="2"/>
      <c r="J2" s="2"/>
    </row>
    <row r="3" spans="1:10" x14ac:dyDescent="0.25">
      <c r="A3" s="1" t="s">
        <v>1</v>
      </c>
      <c r="B3" s="483" t="str">
        <f>'[13]F 1 _ Echant et Séchage'!D6</f>
        <v>861 RLM 75 - PARIS 8E ARRDT</v>
      </c>
      <c r="C3" s="483"/>
      <c r="D3" s="483"/>
      <c r="E3" s="483"/>
      <c r="F3" s="483"/>
      <c r="G3" s="3"/>
      <c r="H3" s="3"/>
      <c r="I3" s="3"/>
      <c r="J3" s="3"/>
    </row>
    <row r="4" spans="1:10" x14ac:dyDescent="0.25">
      <c r="A4" s="1" t="s">
        <v>2</v>
      </c>
      <c r="B4" s="243"/>
      <c r="C4" s="243" t="str">
        <f>'[13]F 1 _ Echant et Séchage'!D8</f>
        <v>ISSEANE</v>
      </c>
      <c r="D4" s="243"/>
      <c r="E4" s="243"/>
      <c r="F4" s="243"/>
      <c r="G4" s="3"/>
      <c r="H4" s="3"/>
      <c r="I4" s="3"/>
      <c r="J4" s="3"/>
    </row>
    <row r="5" spans="1:10" x14ac:dyDescent="0.25">
      <c r="A5" s="1" t="s">
        <v>3</v>
      </c>
      <c r="B5" s="243"/>
      <c r="C5" s="243" t="str">
        <f>'[13]F 1 _ Echant et Séchage'!E15</f>
        <v>sec, nuageux</v>
      </c>
      <c r="D5" s="243"/>
      <c r="E5" s="243"/>
      <c r="F5" s="243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478" t="s">
        <v>4</v>
      </c>
      <c r="B7" s="478"/>
      <c r="C7" s="478"/>
      <c r="D7" s="478"/>
      <c r="E7" s="478"/>
      <c r="F7" s="478"/>
      <c r="G7" s="478"/>
      <c r="H7" s="478"/>
      <c r="I7" s="478"/>
      <c r="J7" s="478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'[13]F 1 _ Echant et Séchage'!B12</f>
        <v>42158</v>
      </c>
      <c r="C9" s="1"/>
      <c r="D9" s="477" t="s">
        <v>6</v>
      </c>
      <c r="E9" s="477"/>
      <c r="F9" s="477"/>
      <c r="G9" s="6">
        <f>'[13]F 1 _ Echant et Séchage'!G19</f>
        <v>124.22</v>
      </c>
      <c r="H9" s="6"/>
      <c r="I9" s="7"/>
      <c r="J9" s="1" t="s">
        <v>7</v>
      </c>
    </row>
    <row r="10" spans="1:10" x14ac:dyDescent="0.25">
      <c r="A10" s="1" t="s">
        <v>8</v>
      </c>
      <c r="B10" s="8" t="str">
        <f>'[13]F 1 _ Echant et Séchage'!E12</f>
        <v>7H55</v>
      </c>
      <c r="C10" s="1"/>
      <c r="D10" s="477" t="s">
        <v>9</v>
      </c>
      <c r="E10" s="477"/>
      <c r="F10" s="477"/>
      <c r="G10" s="243">
        <f>'[13]F 1 _ Echant et Séchage'!H26</f>
        <v>0.42</v>
      </c>
      <c r="H10" s="243"/>
      <c r="I10" s="9"/>
      <c r="J10" s="1" t="s">
        <v>10</v>
      </c>
    </row>
    <row r="11" spans="1:10" x14ac:dyDescent="0.25">
      <c r="A11" s="1"/>
      <c r="B11" s="477"/>
      <c r="C11" s="477"/>
      <c r="D11" s="477" t="s">
        <v>11</v>
      </c>
      <c r="E11" s="477"/>
      <c r="F11" s="477"/>
      <c r="G11" s="10">
        <f>G9/1000/G10</f>
        <v>0.29576190476190478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477" t="s">
        <v>13</v>
      </c>
      <c r="E12" s="477"/>
      <c r="F12" s="477"/>
      <c r="G12" s="231">
        <f>'[13]F 1 _ Echant et Séchage'!D51</f>
        <v>0.43744968604089524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478" t="s">
        <v>14</v>
      </c>
      <c r="B14" s="478"/>
      <c r="C14" s="478"/>
      <c r="D14" s="478"/>
      <c r="E14" s="478"/>
      <c r="F14" s="478"/>
      <c r="G14" s="478"/>
      <c r="H14" s="478"/>
      <c r="I14" s="478"/>
      <c r="J14" s="478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479" t="s">
        <v>16</v>
      </c>
      <c r="H16" s="559"/>
      <c r="I16" s="560"/>
      <c r="J16" s="559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0"/>
      <c r="H17" s="559"/>
      <c r="I17" s="560"/>
      <c r="J17" s="559"/>
    </row>
    <row r="18" spans="1:10" ht="25.5" x14ac:dyDescent="0.25">
      <c r="A18" s="246" t="s">
        <v>109</v>
      </c>
      <c r="B18" s="18" t="s">
        <v>111</v>
      </c>
      <c r="C18" s="19">
        <f>'[13]F 4 TRI _ Granulo'!K5</f>
        <v>32.15050847457627</v>
      </c>
      <c r="D18" s="20">
        <f>'[13]F 4 TRI _ Granulo'!H5</f>
        <v>23.799999999999997</v>
      </c>
      <c r="E18" s="20">
        <f>'[13]F 4 TRI _ Granulo'!E5</f>
        <v>0</v>
      </c>
      <c r="F18" s="20">
        <f>SUM(C18:E18)</f>
        <v>55.950508474576267</v>
      </c>
      <c r="G18" s="21">
        <f>F18/$F$21</f>
        <v>0.80359307675454605</v>
      </c>
      <c r="H18" s="98"/>
      <c r="I18" s="99"/>
      <c r="J18" s="99"/>
    </row>
    <row r="19" spans="1:10" ht="25.5" x14ac:dyDescent="0.25">
      <c r="A19" s="244" t="s">
        <v>110</v>
      </c>
      <c r="B19" s="18" t="s">
        <v>112</v>
      </c>
      <c r="C19" s="19">
        <f>'[13]F 4 TRI _ Granulo'!K6</f>
        <v>3.1905084745762711</v>
      </c>
      <c r="D19" s="20">
        <f>'[13]F 4 TRI _ Granulo'!H6</f>
        <v>4.92</v>
      </c>
      <c r="E19" s="20">
        <f>'[13]F 4 TRI _ Granulo'!E6</f>
        <v>0</v>
      </c>
      <c r="F19" s="20">
        <f>SUM(C19:E19)</f>
        <v>8.110508474576271</v>
      </c>
      <c r="G19" s="21">
        <f>F19/$F$21</f>
        <v>0.11648774312909273</v>
      </c>
      <c r="H19" s="98"/>
      <c r="I19" s="100"/>
      <c r="J19" s="100"/>
    </row>
    <row r="20" spans="1:10" x14ac:dyDescent="0.25">
      <c r="A20" s="22" t="s">
        <v>74</v>
      </c>
      <c r="B20" s="23">
        <f>'[13]F 3 _ Criblage et Tri'!C27+'[13]F 3 _ Criblage et Tri'!D27</f>
        <v>4.28</v>
      </c>
      <c r="C20" s="19">
        <f>'[13]F 4 TRI _ Granulo'!K7</f>
        <v>1.104406779661018</v>
      </c>
      <c r="D20" s="20">
        <f>'[13]F 4 TRI _ Granulo'!H7</f>
        <v>0.18000000000000016</v>
      </c>
      <c r="E20" s="20">
        <f>'[13]F 4 TRI _ Granulo'!E7</f>
        <v>0</v>
      </c>
      <c r="F20" s="19">
        <f>SUM(B20:E20)</f>
        <v>5.5644067796610184</v>
      </c>
      <c r="G20" s="21">
        <f>F20/$F$21</f>
        <v>7.9919180116361177E-2</v>
      </c>
      <c r="H20" s="98"/>
      <c r="I20" s="101"/>
      <c r="J20" s="101"/>
    </row>
    <row r="21" spans="1:10" x14ac:dyDescent="0.25">
      <c r="A21" s="25" t="s">
        <v>25</v>
      </c>
      <c r="B21" s="90">
        <f>B20</f>
        <v>4.28</v>
      </c>
      <c r="C21" s="19">
        <f>SUM(C18:C20)</f>
        <v>36.445423728813559</v>
      </c>
      <c r="D21" s="19">
        <f>SUM(D18:D20)</f>
        <v>28.9</v>
      </c>
      <c r="E21" s="19">
        <f>SUM(E18:E20)</f>
        <v>0</v>
      </c>
      <c r="F21" s="19">
        <f>SUM(B21:E21)</f>
        <v>69.625423728813558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35">
        <f>B21/$F$21</f>
        <v>6.1471798242410967E-2</v>
      </c>
      <c r="C22" s="235">
        <f>C21/$F$21</f>
        <v>0.52344993792448691</v>
      </c>
      <c r="D22" s="235">
        <f>D21/$F$21</f>
        <v>0.41507826383310203</v>
      </c>
      <c r="E22" s="235">
        <f>E21/$F$21</f>
        <v>0</v>
      </c>
      <c r="F22" s="235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mergeCells count="13">
    <mergeCell ref="B2:F2"/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sqref="A1:J22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476" t="str">
        <f>'[14]F 1 _ Echant et Séchage'!D5</f>
        <v>IVR P15 PC BAN</v>
      </c>
      <c r="C2" s="476"/>
      <c r="D2" s="476"/>
      <c r="E2" s="476"/>
      <c r="F2" s="476"/>
      <c r="G2" s="2"/>
      <c r="H2" s="2"/>
      <c r="I2" s="2"/>
      <c r="J2" s="2"/>
    </row>
    <row r="3" spans="1:10" x14ac:dyDescent="0.25">
      <c r="A3" s="1" t="s">
        <v>1</v>
      </c>
      <c r="B3" s="483" t="str">
        <f>'[14]F 1 _ Echant et Séchage'!D6</f>
        <v>cachan 4239TJ94</v>
      </c>
      <c r="C3" s="483"/>
      <c r="D3" s="483"/>
      <c r="E3" s="483"/>
      <c r="F3" s="483"/>
      <c r="G3" s="3"/>
      <c r="H3" s="3"/>
      <c r="I3" s="3"/>
      <c r="J3" s="3"/>
    </row>
    <row r="4" spans="1:10" x14ac:dyDescent="0.25">
      <c r="A4" s="1" t="s">
        <v>2</v>
      </c>
      <c r="B4" s="243"/>
      <c r="C4" s="243" t="str">
        <f>'[14]F 1 _ Echant et Séchage'!D8</f>
        <v>Ivry</v>
      </c>
      <c r="D4" s="243"/>
      <c r="E4" s="243"/>
      <c r="F4" s="243"/>
      <c r="G4" s="3"/>
      <c r="H4" s="3"/>
      <c r="I4" s="3"/>
      <c r="J4" s="3"/>
    </row>
    <row r="5" spans="1:10" x14ac:dyDescent="0.25">
      <c r="A5" s="1" t="s">
        <v>3</v>
      </c>
      <c r="B5" s="243"/>
      <c r="C5" s="243" t="str">
        <f>'[14]F 1 _ Echant et Séchage'!E15</f>
        <v>ensoleillé</v>
      </c>
      <c r="D5" s="243"/>
      <c r="E5" s="243"/>
      <c r="F5" s="243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478" t="s">
        <v>4</v>
      </c>
      <c r="B7" s="478"/>
      <c r="C7" s="478"/>
      <c r="D7" s="478"/>
      <c r="E7" s="478"/>
      <c r="F7" s="478"/>
      <c r="G7" s="478"/>
      <c r="H7" s="478"/>
      <c r="I7" s="478"/>
      <c r="J7" s="478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'[14]F 1 _ Echant et Séchage'!B12</f>
        <v>42145</v>
      </c>
      <c r="C9" s="1"/>
      <c r="D9" s="477" t="s">
        <v>6</v>
      </c>
      <c r="E9" s="477"/>
      <c r="F9" s="477"/>
      <c r="G9" s="6">
        <f>'[14]F 1 _ Echant et Séchage'!G19</f>
        <v>126.24000000000001</v>
      </c>
      <c r="H9" s="6"/>
      <c r="I9" s="7"/>
      <c r="J9" s="1" t="s">
        <v>7</v>
      </c>
    </row>
    <row r="10" spans="1:10" x14ac:dyDescent="0.25">
      <c r="A10" s="1" t="s">
        <v>8</v>
      </c>
      <c r="B10" s="8">
        <f>'[14]F 1 _ Echant et Séchage'!E12</f>
        <v>0.39930555555555558</v>
      </c>
      <c r="C10" s="1"/>
      <c r="D10" s="477" t="s">
        <v>9</v>
      </c>
      <c r="E10" s="477"/>
      <c r="F10" s="477"/>
      <c r="G10" s="243">
        <f>'[14]F 1 _ Echant et Séchage'!H26</f>
        <v>0.5</v>
      </c>
      <c r="H10" s="243"/>
      <c r="I10" s="9"/>
      <c r="J10" s="1" t="s">
        <v>10</v>
      </c>
    </row>
    <row r="11" spans="1:10" x14ac:dyDescent="0.25">
      <c r="A11" s="1"/>
      <c r="B11" s="477"/>
      <c r="C11" s="477"/>
      <c r="D11" s="477" t="s">
        <v>11</v>
      </c>
      <c r="E11" s="477"/>
      <c r="F11" s="477"/>
      <c r="G11" s="10">
        <f>G9/1000/G10</f>
        <v>0.25248000000000004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477" t="s">
        <v>13</v>
      </c>
      <c r="E12" s="477"/>
      <c r="F12" s="477"/>
      <c r="G12" s="236">
        <f>'[14]F 1 _ Echant et Séchage'!D51</f>
        <v>0.39052598225602037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478" t="s">
        <v>14</v>
      </c>
      <c r="B14" s="478"/>
      <c r="C14" s="478"/>
      <c r="D14" s="478"/>
      <c r="E14" s="478"/>
      <c r="F14" s="478"/>
      <c r="G14" s="478"/>
      <c r="H14" s="478"/>
      <c r="I14" s="478"/>
      <c r="J14" s="478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479" t="s">
        <v>16</v>
      </c>
      <c r="H16" s="559"/>
      <c r="I16" s="560"/>
      <c r="J16" s="559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0"/>
      <c r="H17" s="559"/>
      <c r="I17" s="560"/>
      <c r="J17" s="559"/>
    </row>
    <row r="18" spans="1:10" ht="25.5" x14ac:dyDescent="0.25">
      <c r="A18" s="246" t="s">
        <v>109</v>
      </c>
      <c r="B18" s="18" t="s">
        <v>111</v>
      </c>
      <c r="C18" s="19">
        <f>'[14]F 4 TRI _ Granulo'!K5</f>
        <v>31.646376811594209</v>
      </c>
      <c r="D18" s="20">
        <f>'[14]F 4 TRI _ Granulo'!H5</f>
        <v>21.46</v>
      </c>
      <c r="E18" s="20">
        <f>'[14]F 4 TRI _ Granulo'!E5</f>
        <v>1.1200000000000001</v>
      </c>
      <c r="F18" s="20">
        <f>SUM(C18:E18)</f>
        <v>54.226376811594207</v>
      </c>
      <c r="G18" s="21">
        <f>F18/$F$21</f>
        <v>0.70682222616830193</v>
      </c>
      <c r="H18" s="98"/>
      <c r="I18" s="99"/>
      <c r="J18" s="99"/>
    </row>
    <row r="19" spans="1:10" ht="25.5" x14ac:dyDescent="0.25">
      <c r="A19" s="244" t="s">
        <v>110</v>
      </c>
      <c r="B19" s="18" t="s">
        <v>112</v>
      </c>
      <c r="C19" s="19">
        <f>'[14]F 4 TRI _ Granulo'!K6</f>
        <v>7.6130434782608702</v>
      </c>
      <c r="D19" s="20">
        <f>'[14]F 4 TRI _ Granulo'!H6</f>
        <v>2.3200000000000003</v>
      </c>
      <c r="E19" s="20">
        <f>'[14]F 4 TRI _ Granulo'!E6</f>
        <v>0.72</v>
      </c>
      <c r="F19" s="20">
        <f>SUM(C19:E19)</f>
        <v>10.653043478260871</v>
      </c>
      <c r="G19" s="21">
        <f>F19/$F$21</f>
        <v>0.13885876854605012</v>
      </c>
      <c r="H19" s="98"/>
      <c r="I19" s="100"/>
      <c r="J19" s="100"/>
    </row>
    <row r="20" spans="1:10" x14ac:dyDescent="0.25">
      <c r="A20" s="22" t="s">
        <v>74</v>
      </c>
      <c r="B20" s="23">
        <f>'[14]F 3 _ Criblage et Tri'!C27+'[14]F 3 _ Criblage et Tri'!D27</f>
        <v>9.34</v>
      </c>
      <c r="C20" s="19">
        <f>'[14]F 4 TRI _ Granulo'!K7</f>
        <v>2.2391304347826111</v>
      </c>
      <c r="D20" s="20">
        <f>'[14]F 4 TRI _ Granulo'!H7</f>
        <v>0.26000000000000023</v>
      </c>
      <c r="E20" s="20">
        <f>'[14]F 4 TRI _ Granulo'!E7</f>
        <v>0</v>
      </c>
      <c r="F20" s="19">
        <f>SUM(B20:E20)</f>
        <v>11.839130434782611</v>
      </c>
      <c r="G20" s="21">
        <f>F20/$F$21</f>
        <v>0.1543190052856479</v>
      </c>
      <c r="H20" s="98"/>
      <c r="I20" s="101"/>
      <c r="J20" s="101"/>
    </row>
    <row r="21" spans="1:10" x14ac:dyDescent="0.25">
      <c r="A21" s="25" t="s">
        <v>25</v>
      </c>
      <c r="B21" s="90">
        <f>B20</f>
        <v>9.34</v>
      </c>
      <c r="C21" s="19">
        <f>SUM(C18:C20)</f>
        <v>41.498550724637688</v>
      </c>
      <c r="D21" s="19">
        <f>SUM(D18:D20)</f>
        <v>24.040000000000003</v>
      </c>
      <c r="E21" s="19">
        <f>SUM(E18:E20)</f>
        <v>1.84</v>
      </c>
      <c r="F21" s="19">
        <f>SUM(B21:E21)</f>
        <v>76.718550724637694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35">
        <f>B21/$F$21</f>
        <v>0.12174369708212587</v>
      </c>
      <c r="C22" s="235">
        <f>C21/$F$21</f>
        <v>0.54091937781236898</v>
      </c>
      <c r="D22" s="235">
        <f>D21/$F$21</f>
        <v>0.31335315608718484</v>
      </c>
      <c r="E22" s="235">
        <f>E21/$F$21</f>
        <v>2.3983769018320302E-2</v>
      </c>
      <c r="F22" s="235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</sheetData>
  <mergeCells count="13">
    <mergeCell ref="B2:F2"/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sqref="A1:J23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476" t="str">
        <f>'[15]F 1 _ Echant et Séchage'!D5</f>
        <v>IVR P15 PC PAR</v>
      </c>
      <c r="C2" s="476"/>
      <c r="D2" s="476"/>
      <c r="E2" s="476"/>
      <c r="F2" s="476"/>
      <c r="G2" s="2"/>
      <c r="H2" s="2"/>
      <c r="I2" s="2"/>
      <c r="J2" s="2"/>
    </row>
    <row r="3" spans="1:10" x14ac:dyDescent="0.25">
      <c r="A3" s="1" t="s">
        <v>1</v>
      </c>
      <c r="B3" s="483" t="str">
        <f>'[15]F 1 _ Echant et Séchage'!D6</f>
        <v>CN 548 PT</v>
      </c>
      <c r="C3" s="483"/>
      <c r="D3" s="483"/>
      <c r="E3" s="483"/>
      <c r="F3" s="483"/>
      <c r="G3" s="3"/>
      <c r="H3" s="3"/>
      <c r="I3" s="3"/>
      <c r="J3" s="3"/>
    </row>
    <row r="4" spans="1:10" x14ac:dyDescent="0.25">
      <c r="A4" s="1" t="s">
        <v>2</v>
      </c>
      <c r="B4" s="243"/>
      <c r="C4" s="243" t="str">
        <f>'[15]F 1 _ Echant et Séchage'!D8</f>
        <v>Ivry</v>
      </c>
      <c r="D4" s="243"/>
      <c r="E4" s="243"/>
      <c r="F4" s="243"/>
      <c r="G4" s="3"/>
      <c r="H4" s="3"/>
      <c r="I4" s="3"/>
      <c r="J4" s="3"/>
    </row>
    <row r="5" spans="1:10" x14ac:dyDescent="0.25">
      <c r="A5" s="1" t="s">
        <v>3</v>
      </c>
      <c r="B5" s="243"/>
      <c r="C5" s="243" t="str">
        <f>'[15]F 1 _ Echant et Séchage'!E15</f>
        <v>ensoleillé</v>
      </c>
      <c r="D5" s="243"/>
      <c r="E5" s="243"/>
      <c r="F5" s="243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478" t="s">
        <v>4</v>
      </c>
      <c r="B7" s="478"/>
      <c r="C7" s="478"/>
      <c r="D7" s="478"/>
      <c r="E7" s="478"/>
      <c r="F7" s="478"/>
      <c r="G7" s="478"/>
      <c r="H7" s="478"/>
      <c r="I7" s="478"/>
      <c r="J7" s="478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'[15]F 1 _ Echant et Séchage'!B12</f>
        <v>42145</v>
      </c>
      <c r="C9" s="1"/>
      <c r="D9" s="477" t="s">
        <v>6</v>
      </c>
      <c r="E9" s="477"/>
      <c r="F9" s="477"/>
      <c r="G9" s="6">
        <f>'[15]F 1 _ Echant et Séchage'!G19</f>
        <v>127.26</v>
      </c>
      <c r="H9" s="6"/>
      <c r="I9" s="7"/>
      <c r="J9" s="1" t="s">
        <v>7</v>
      </c>
    </row>
    <row r="10" spans="1:10" x14ac:dyDescent="0.25">
      <c r="A10" s="1" t="s">
        <v>8</v>
      </c>
      <c r="B10" s="8">
        <f>'[15]F 1 _ Echant et Séchage'!E12</f>
        <v>0.3576388888888889</v>
      </c>
      <c r="C10" s="1"/>
      <c r="D10" s="477" t="s">
        <v>9</v>
      </c>
      <c r="E10" s="477"/>
      <c r="F10" s="477"/>
      <c r="G10" s="243">
        <f>'[15]F 1 _ Echant et Séchage'!H26</f>
        <v>0.5</v>
      </c>
      <c r="H10" s="243"/>
      <c r="I10" s="9"/>
      <c r="J10" s="1" t="s">
        <v>10</v>
      </c>
    </row>
    <row r="11" spans="1:10" x14ac:dyDescent="0.25">
      <c r="A11" s="1"/>
      <c r="B11" s="477"/>
      <c r="C11" s="477"/>
      <c r="D11" s="477" t="s">
        <v>11</v>
      </c>
      <c r="E11" s="477"/>
      <c r="F11" s="477"/>
      <c r="G11" s="10">
        <f>G9/1000/G10</f>
        <v>0.25452000000000002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477" t="s">
        <v>13</v>
      </c>
      <c r="E12" s="477"/>
      <c r="F12" s="477"/>
      <c r="G12" s="236">
        <f>'[15]F 1 _ Echant et Séchage'!D51</f>
        <v>0.47072921577872073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478" t="s">
        <v>14</v>
      </c>
      <c r="B14" s="478"/>
      <c r="C14" s="478"/>
      <c r="D14" s="478"/>
      <c r="E14" s="478"/>
      <c r="F14" s="478"/>
      <c r="G14" s="478"/>
      <c r="H14" s="478"/>
      <c r="I14" s="478"/>
      <c r="J14" s="478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479" t="s">
        <v>16</v>
      </c>
      <c r="H16" s="559"/>
      <c r="I16" s="560"/>
      <c r="J16" s="559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0"/>
      <c r="H17" s="559"/>
      <c r="I17" s="560"/>
      <c r="J17" s="559"/>
    </row>
    <row r="18" spans="1:10" ht="25.5" x14ac:dyDescent="0.25">
      <c r="A18" s="246" t="s">
        <v>109</v>
      </c>
      <c r="B18" s="18" t="s">
        <v>111</v>
      </c>
      <c r="C18" s="19">
        <f>'[15]F 4 TRI _ Granulo'!K5</f>
        <v>28.440317460317463</v>
      </c>
      <c r="D18" s="20">
        <f>'[15]F 4 TRI _ Granulo'!H5</f>
        <v>19.240000000000002</v>
      </c>
      <c r="E18" s="20">
        <f>'[15]F 4 TRI _ Granulo'!E5</f>
        <v>0.36</v>
      </c>
      <c r="F18" s="20">
        <f>SUM(C18:E18)</f>
        <v>48.040317460317468</v>
      </c>
      <c r="G18" s="21">
        <f>F18/$F$21</f>
        <v>0.7127475684713751</v>
      </c>
      <c r="H18" s="98"/>
      <c r="I18" s="99"/>
      <c r="J18" s="99"/>
    </row>
    <row r="19" spans="1:10" ht="25.5" x14ac:dyDescent="0.25">
      <c r="A19" s="244" t="s">
        <v>110</v>
      </c>
      <c r="B19" s="18" t="s">
        <v>112</v>
      </c>
      <c r="C19" s="19">
        <f>'[15]F 4 TRI _ Granulo'!K6</f>
        <v>6.7580952380952377</v>
      </c>
      <c r="D19" s="20">
        <f>'[15]F 4 TRI _ Granulo'!H6</f>
        <v>4.04</v>
      </c>
      <c r="E19" s="20">
        <f>'[15]F 4 TRI _ Granulo'!E6</f>
        <v>0</v>
      </c>
      <c r="F19" s="20">
        <f>SUM(C19:E19)</f>
        <v>10.798095238095238</v>
      </c>
      <c r="G19" s="21">
        <f>F19/$F$21</f>
        <v>0.16020535525045329</v>
      </c>
      <c r="H19" s="98"/>
      <c r="I19" s="100"/>
      <c r="J19" s="100"/>
    </row>
    <row r="20" spans="1:10" x14ac:dyDescent="0.25">
      <c r="A20" s="22" t="s">
        <v>74</v>
      </c>
      <c r="B20" s="23">
        <f>'[15]F 3 _ Criblage et Tri'!C27+'[15]F 3 _ Criblage et Tri'!D27</f>
        <v>7.7400000000000011</v>
      </c>
      <c r="C20" s="19">
        <f>'[15]F 4 TRI _ Granulo'!K7</f>
        <v>0.56317460317460366</v>
      </c>
      <c r="D20" s="20">
        <f>'[15]F 4 TRI _ Granulo'!H7</f>
        <v>0.26000000000000023</v>
      </c>
      <c r="E20" s="20">
        <f>'[15]F 4 TRI _ Granulo'!E7</f>
        <v>0</v>
      </c>
      <c r="F20" s="19">
        <f>SUM(B20:E20)</f>
        <v>8.5631746031746037</v>
      </c>
      <c r="G20" s="21">
        <f>F20/$F$21</f>
        <v>0.12704707627817158</v>
      </c>
      <c r="H20" s="98"/>
      <c r="I20" s="101"/>
      <c r="J20" s="101"/>
    </row>
    <row r="21" spans="1:10" x14ac:dyDescent="0.25">
      <c r="A21" s="25" t="s">
        <v>25</v>
      </c>
      <c r="B21" s="90">
        <f>B20</f>
        <v>7.7400000000000011</v>
      </c>
      <c r="C21" s="19">
        <f>SUM(C18:C20)</f>
        <v>35.761587301587305</v>
      </c>
      <c r="D21" s="19">
        <f>SUM(D18:D20)</f>
        <v>23.540000000000003</v>
      </c>
      <c r="E21" s="19">
        <f>SUM(E18:E20)</f>
        <v>0.36</v>
      </c>
      <c r="F21" s="19">
        <f>SUM(B21:E21)</f>
        <v>67.401587301587313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35">
        <f>B21/$F$21</f>
        <v>0.11483409085556838</v>
      </c>
      <c r="C22" s="235">
        <f>C21/$F$21</f>
        <v>0.53057485340178501</v>
      </c>
      <c r="D22" s="235">
        <f>D21/$F$21</f>
        <v>0.34924993523773634</v>
      </c>
      <c r="E22" s="235">
        <f>E21/$F$21</f>
        <v>5.3411205049101558E-3</v>
      </c>
      <c r="F22" s="235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</sheetData>
  <mergeCells count="13">
    <mergeCell ref="B2:F2"/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F30" sqref="F30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476" t="str">
        <f>'[16]F 1 _ Echant et Séchage'!D5</f>
        <v>ROM P15 PC BAN</v>
      </c>
      <c r="C2" s="476"/>
      <c r="D2" s="476"/>
      <c r="E2" s="476"/>
      <c r="F2" s="476"/>
      <c r="G2" s="2"/>
      <c r="H2" s="2"/>
      <c r="I2" s="2"/>
      <c r="J2" s="2"/>
    </row>
    <row r="3" spans="1:10" x14ac:dyDescent="0.25">
      <c r="A3" s="1" t="s">
        <v>1</v>
      </c>
      <c r="B3" s="483" t="str">
        <f>'[16]F 1 _ Echant et Séchage'!D6</f>
        <v>Le bourget DG 293 HT</v>
      </c>
      <c r="C3" s="483"/>
      <c r="D3" s="483"/>
      <c r="E3" s="483"/>
      <c r="F3" s="483"/>
      <c r="G3" s="3"/>
      <c r="H3" s="3"/>
      <c r="I3" s="3"/>
      <c r="J3" s="3"/>
    </row>
    <row r="4" spans="1:10" x14ac:dyDescent="0.25">
      <c r="A4" s="1" t="s">
        <v>2</v>
      </c>
      <c r="B4" s="243"/>
      <c r="C4" s="243" t="str">
        <f>'[16]F 1 _ Echant et Séchage'!D8</f>
        <v>Romainville</v>
      </c>
      <c r="D4" s="243"/>
      <c r="E4" s="243"/>
      <c r="F4" s="243"/>
      <c r="G4" s="3"/>
      <c r="H4" s="3"/>
      <c r="I4" s="3"/>
      <c r="J4" s="3"/>
    </row>
    <row r="5" spans="1:10" x14ac:dyDescent="0.25">
      <c r="A5" s="1" t="s">
        <v>3</v>
      </c>
      <c r="B5" s="243"/>
      <c r="C5" s="243" t="str">
        <f>'[16]F 1 _ Echant et Séchage'!E15</f>
        <v>sec et ensoleillé</v>
      </c>
      <c r="D5" s="243"/>
      <c r="E5" s="243"/>
      <c r="F5" s="243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478" t="s">
        <v>4</v>
      </c>
      <c r="B7" s="478"/>
      <c r="C7" s="478"/>
      <c r="D7" s="478"/>
      <c r="E7" s="478"/>
      <c r="F7" s="478"/>
      <c r="G7" s="478"/>
      <c r="H7" s="478"/>
      <c r="I7" s="478"/>
      <c r="J7" s="478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'[16]F 1 _ Echant et Séchage'!B13</f>
        <v>0</v>
      </c>
      <c r="C9" s="1"/>
      <c r="D9" s="477" t="s">
        <v>6</v>
      </c>
      <c r="E9" s="477"/>
      <c r="F9" s="477"/>
      <c r="G9" s="6">
        <f>'[16]F 1 _ Echant et Séchage'!G19</f>
        <v>127.28</v>
      </c>
      <c r="H9" s="6"/>
      <c r="I9" s="7"/>
      <c r="J9" s="1" t="s">
        <v>7</v>
      </c>
    </row>
    <row r="10" spans="1:10" x14ac:dyDescent="0.25">
      <c r="A10" s="1" t="s">
        <v>8</v>
      </c>
      <c r="B10" s="8">
        <f>'[16]F 1 _ Echant et Séchage'!E13</f>
        <v>0</v>
      </c>
      <c r="C10" s="1"/>
      <c r="D10" s="477" t="s">
        <v>9</v>
      </c>
      <c r="E10" s="477"/>
      <c r="F10" s="477"/>
      <c r="G10" s="243">
        <f>SUM('[16]F 1 _ Echant et Séchage'!H21:H23)</f>
        <v>0.4</v>
      </c>
      <c r="H10" s="243"/>
      <c r="I10" s="9"/>
      <c r="J10" s="1" t="s">
        <v>10</v>
      </c>
    </row>
    <row r="11" spans="1:10" x14ac:dyDescent="0.25">
      <c r="A11" s="1"/>
      <c r="B11" s="477"/>
      <c r="C11" s="477"/>
      <c r="D11" s="477" t="s">
        <v>11</v>
      </c>
      <c r="E11" s="477"/>
      <c r="F11" s="477"/>
      <c r="G11" s="10">
        <f>G9/1000/G10</f>
        <v>0.31819999999999998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477" t="s">
        <v>13</v>
      </c>
      <c r="E12" s="477"/>
      <c r="F12" s="477"/>
      <c r="G12" s="231">
        <f>'[16]F 1 _ Echant et Séchage'!D51</f>
        <v>0.4267127592708988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478" t="s">
        <v>14</v>
      </c>
      <c r="B14" s="478"/>
      <c r="C14" s="478"/>
      <c r="D14" s="478"/>
      <c r="E14" s="478"/>
      <c r="F14" s="478"/>
      <c r="G14" s="478"/>
      <c r="H14" s="478"/>
      <c r="I14" s="478"/>
      <c r="J14" s="478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479" t="s">
        <v>16</v>
      </c>
      <c r="H16" s="559"/>
      <c r="I16" s="560"/>
      <c r="J16" s="559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0"/>
      <c r="H17" s="559"/>
      <c r="I17" s="560"/>
      <c r="J17" s="559"/>
    </row>
    <row r="18" spans="1:10" ht="25.5" x14ac:dyDescent="0.25">
      <c r="A18" s="246" t="s">
        <v>109</v>
      </c>
      <c r="B18" s="18" t="s">
        <v>111</v>
      </c>
      <c r="C18" s="19">
        <f>'[16]F 4 TRI _ Granulo'!K5</f>
        <v>24.968543689320384</v>
      </c>
      <c r="D18" s="20">
        <f>'[16]F 4 TRI _ Granulo'!H5</f>
        <v>19.880000000000003</v>
      </c>
      <c r="E18" s="20">
        <f>'[16]F 4 TRI _ Granulo'!E5</f>
        <v>4.78</v>
      </c>
      <c r="F18" s="20">
        <f>SUM(C18:E18)</f>
        <v>49.628543689320388</v>
      </c>
      <c r="G18" s="21">
        <f>F18/$F$21</f>
        <v>0.6789797783374244</v>
      </c>
      <c r="H18" s="98"/>
      <c r="I18" s="99"/>
      <c r="J18" s="99"/>
    </row>
    <row r="19" spans="1:10" ht="25.5" x14ac:dyDescent="0.25">
      <c r="A19" s="244" t="s">
        <v>110</v>
      </c>
      <c r="B19" s="18" t="s">
        <v>112</v>
      </c>
      <c r="C19" s="19">
        <f>'[16]F 4 TRI _ Granulo'!K6</f>
        <v>11.749902912621359</v>
      </c>
      <c r="D19" s="20">
        <f>'[16]F 4 TRI _ Granulo'!H6</f>
        <v>4.74</v>
      </c>
      <c r="E19" s="20">
        <f>'[16]F 4 TRI _ Granulo'!E6</f>
        <v>0</v>
      </c>
      <c r="F19" s="20">
        <f>SUM(C19:E19)</f>
        <v>16.489902912621361</v>
      </c>
      <c r="G19" s="21">
        <f>F19/$F$21</f>
        <v>0.2256022400034004</v>
      </c>
      <c r="H19" s="98"/>
      <c r="I19" s="100"/>
      <c r="J19" s="100"/>
    </row>
    <row r="20" spans="1:10" x14ac:dyDescent="0.25">
      <c r="A20" s="22" t="s">
        <v>74</v>
      </c>
      <c r="B20" s="23">
        <f>'[16]F 3 _ Criblage et Tri'!C27+'[16]F 3 _ Criblage et Tri'!D27</f>
        <v>6.0400000000000009</v>
      </c>
      <c r="C20" s="19">
        <f>'[16]F 4 TRI _ Granulo'!K7</f>
        <v>0.73436893203883546</v>
      </c>
      <c r="D20" s="20">
        <f>'[16]F 4 TRI _ Granulo'!H7</f>
        <v>0.20000000000000018</v>
      </c>
      <c r="E20" s="20">
        <f>'[16]F 4 TRI _ Granulo'!E7</f>
        <v>0</v>
      </c>
      <c r="F20" s="19">
        <f>SUM(B20:E20)</f>
        <v>6.9743689320388365</v>
      </c>
      <c r="G20" s="21">
        <f>F20/$F$21</f>
        <v>9.5417981659175213E-2</v>
      </c>
      <c r="H20" s="98"/>
      <c r="I20" s="101"/>
      <c r="J20" s="101"/>
    </row>
    <row r="21" spans="1:10" x14ac:dyDescent="0.25">
      <c r="A21" s="25" t="s">
        <v>25</v>
      </c>
      <c r="B21" s="90">
        <f>B20</f>
        <v>6.0400000000000009</v>
      </c>
      <c r="C21" s="19">
        <f>SUM(C18:C20)</f>
        <v>37.452815533980576</v>
      </c>
      <c r="D21" s="19">
        <f>SUM(D18:D20)</f>
        <v>24.820000000000004</v>
      </c>
      <c r="E21" s="19">
        <f>SUM(E18:E20)</f>
        <v>4.78</v>
      </c>
      <c r="F21" s="19">
        <f>SUM(B21:E21)</f>
        <v>73.092815533980584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35">
        <f>B21/$F$21</f>
        <v>8.2634660545974278E-2</v>
      </c>
      <c r="C22" s="235">
        <f>C21/$F$21</f>
        <v>0.51240077783799287</v>
      </c>
      <c r="D22" s="235">
        <f>D21/$F$21</f>
        <v>0.33956825740911945</v>
      </c>
      <c r="E22" s="235">
        <f>E21/$F$21</f>
        <v>6.5396304206913405E-2</v>
      </c>
      <c r="F22" s="235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</sheetData>
  <mergeCells count="13">
    <mergeCell ref="D12:F12"/>
    <mergeCell ref="A14:J14"/>
    <mergeCell ref="G16:G17"/>
    <mergeCell ref="H16:H17"/>
    <mergeCell ref="I16:I17"/>
    <mergeCell ref="J16:J17"/>
    <mergeCell ref="B2:F2"/>
    <mergeCell ref="B11:C11"/>
    <mergeCell ref="D11:F11"/>
    <mergeCell ref="B3:F3"/>
    <mergeCell ref="A7:J7"/>
    <mergeCell ref="D9:F9"/>
    <mergeCell ref="D10:F1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sqref="A1:J22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476" t="str">
        <f>'[17]F 1 _ Echant et Séchage'!D5</f>
        <v>ROM P15 PC PAR</v>
      </c>
      <c r="C2" s="476"/>
      <c r="D2" s="476"/>
      <c r="E2" s="476"/>
      <c r="F2" s="476"/>
      <c r="G2" s="2"/>
      <c r="H2" s="2"/>
      <c r="I2" s="2"/>
      <c r="J2" s="2"/>
    </row>
    <row r="3" spans="1:10" x14ac:dyDescent="0.25">
      <c r="A3" s="1" t="s">
        <v>1</v>
      </c>
      <c r="B3" s="483" t="str">
        <f>'[17]F 1 _ Echant et Séchage'!D6</f>
        <v>901 QJQ 75 20è</v>
      </c>
      <c r="C3" s="483"/>
      <c r="D3" s="483"/>
      <c r="E3" s="483"/>
      <c r="F3" s="483"/>
      <c r="G3" s="3"/>
      <c r="H3" s="3"/>
      <c r="I3" s="3"/>
      <c r="J3" s="3"/>
    </row>
    <row r="4" spans="1:10" x14ac:dyDescent="0.25">
      <c r="A4" s="1" t="s">
        <v>2</v>
      </c>
      <c r="B4" s="243"/>
      <c r="C4" s="243" t="str">
        <f>'[17]F 1 _ Echant et Séchage'!D8</f>
        <v>Romainville</v>
      </c>
      <c r="D4" s="243"/>
      <c r="E4" s="243"/>
      <c r="F4" s="243"/>
      <c r="G4" s="3"/>
      <c r="H4" s="3"/>
      <c r="I4" s="3"/>
      <c r="J4" s="3"/>
    </row>
    <row r="5" spans="1:10" x14ac:dyDescent="0.25">
      <c r="A5" s="1" t="s">
        <v>3</v>
      </c>
      <c r="B5" s="243"/>
      <c r="C5" s="243" t="str">
        <f>'[17]F 1 _ Echant et Séchage'!E15</f>
        <v>ensoleillé et nuageux</v>
      </c>
      <c r="D5" s="243"/>
      <c r="E5" s="243"/>
      <c r="F5" s="243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478" t="s">
        <v>4</v>
      </c>
      <c r="B7" s="478"/>
      <c r="C7" s="478"/>
      <c r="D7" s="478"/>
      <c r="E7" s="478"/>
      <c r="F7" s="478"/>
      <c r="G7" s="478"/>
      <c r="H7" s="478"/>
      <c r="I7" s="478"/>
      <c r="J7" s="478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'[17]F 1 _ Echant et Séchage'!B12</f>
        <v>42144</v>
      </c>
      <c r="C9" s="1"/>
      <c r="D9" s="477" t="s">
        <v>6</v>
      </c>
      <c r="E9" s="477"/>
      <c r="F9" s="477"/>
      <c r="G9" s="6">
        <f>'[17]F 1 _ Echant et Séchage'!G19</f>
        <v>128.19999999999999</v>
      </c>
      <c r="H9" s="6"/>
      <c r="I9" s="7"/>
      <c r="J9" s="1" t="s">
        <v>7</v>
      </c>
    </row>
    <row r="10" spans="1:10" x14ac:dyDescent="0.25">
      <c r="A10" s="1" t="s">
        <v>8</v>
      </c>
      <c r="B10" s="8">
        <f>'[17]F 1 _ Echant et Séchage'!E12</f>
        <v>0.32291666666666669</v>
      </c>
      <c r="C10" s="1"/>
      <c r="D10" s="477" t="s">
        <v>9</v>
      </c>
      <c r="E10" s="477"/>
      <c r="F10" s="477"/>
      <c r="G10" s="243">
        <f>'[17]F 1 _ Echant et Séchage'!H26</f>
        <v>0.5</v>
      </c>
      <c r="H10" s="243"/>
      <c r="I10" s="9"/>
      <c r="J10" s="1" t="s">
        <v>10</v>
      </c>
    </row>
    <row r="11" spans="1:10" x14ac:dyDescent="0.25">
      <c r="A11" s="1"/>
      <c r="B11" s="477"/>
      <c r="C11" s="477"/>
      <c r="D11" s="477" t="s">
        <v>11</v>
      </c>
      <c r="E11" s="477"/>
      <c r="F11" s="477"/>
      <c r="G11" s="10">
        <f>G9/1000/G10</f>
        <v>0.25639999999999996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477" t="s">
        <v>13</v>
      </c>
      <c r="E12" s="477"/>
      <c r="F12" s="477"/>
      <c r="G12" s="231">
        <f>'[17]F 1 _ Echant et Séchage'!D51</f>
        <v>0.40015600624024961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478" t="s">
        <v>14</v>
      </c>
      <c r="B14" s="478"/>
      <c r="C14" s="478"/>
      <c r="D14" s="478"/>
      <c r="E14" s="478"/>
      <c r="F14" s="478"/>
      <c r="G14" s="478"/>
      <c r="H14" s="478"/>
      <c r="I14" s="478"/>
      <c r="J14" s="478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479" t="s">
        <v>16</v>
      </c>
      <c r="H16" s="559"/>
      <c r="I16" s="560"/>
      <c r="J16" s="559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0"/>
      <c r="H17" s="559"/>
      <c r="I17" s="560"/>
      <c r="J17" s="559"/>
    </row>
    <row r="18" spans="1:10" ht="25.5" x14ac:dyDescent="0.25">
      <c r="A18" s="246" t="s">
        <v>109</v>
      </c>
      <c r="B18" s="18" t="s">
        <v>111</v>
      </c>
      <c r="C18" s="19">
        <f>'[17]F 4 TRI _ Granulo'!K5</f>
        <v>28.008528301886795</v>
      </c>
      <c r="D18" s="20">
        <f>'[17]F 4 TRI _ Granulo'!H5</f>
        <v>22.700000000000003</v>
      </c>
      <c r="E18" s="20">
        <f>'[17]F 4 TRI _ Granulo'!E5</f>
        <v>0.34</v>
      </c>
      <c r="F18" s="20">
        <f>SUM(C18:E18)</f>
        <v>51.048528301886805</v>
      </c>
      <c r="G18" s="21">
        <f>F18/$F$21</f>
        <v>0.66864077881047146</v>
      </c>
      <c r="H18" s="98"/>
      <c r="I18" s="99"/>
      <c r="J18" s="99"/>
    </row>
    <row r="19" spans="1:10" ht="25.5" x14ac:dyDescent="0.25">
      <c r="A19" s="244" t="s">
        <v>110</v>
      </c>
      <c r="B19" s="18" t="s">
        <v>112</v>
      </c>
      <c r="C19" s="19">
        <f>'[17]F 4 TRI _ Granulo'!K6</f>
        <v>9.3850566037735863</v>
      </c>
      <c r="D19" s="20">
        <f>'[17]F 4 TRI _ Granulo'!H6</f>
        <v>5.78</v>
      </c>
      <c r="E19" s="20">
        <f>'[17]F 4 TRI _ Granulo'!E6</f>
        <v>0</v>
      </c>
      <c r="F19" s="20">
        <f>SUM(C19:E19)</f>
        <v>15.165056603773586</v>
      </c>
      <c r="G19" s="21">
        <f>F19/$F$21</f>
        <v>0.19863403697530824</v>
      </c>
      <c r="H19" s="98"/>
      <c r="I19" s="100"/>
      <c r="J19" s="100"/>
    </row>
    <row r="20" spans="1:10" x14ac:dyDescent="0.25">
      <c r="A20" s="22" t="s">
        <v>74</v>
      </c>
      <c r="B20" s="23">
        <f>'[17]F 3 _ Criblage et Tri'!C27+'[17]F 3 _ Criblage et Tri'!D27</f>
        <v>8.5</v>
      </c>
      <c r="C20" s="19">
        <f>'[17]F 4 TRI _ Granulo'!K7</f>
        <v>1.1731320754716992</v>
      </c>
      <c r="D20" s="20">
        <f>'[17]F 4 TRI _ Granulo'!H7</f>
        <v>0.45999999999999996</v>
      </c>
      <c r="E20" s="20">
        <f>'[17]F 4 TRI _ Granulo'!E7</f>
        <v>0</v>
      </c>
      <c r="F20" s="19">
        <f>SUM(B20:E20)</f>
        <v>10.1331320754717</v>
      </c>
      <c r="G20" s="21">
        <f>F20/$F$21</f>
        <v>0.13272518421422033</v>
      </c>
      <c r="H20" s="98"/>
      <c r="I20" s="101"/>
      <c r="J20" s="101"/>
    </row>
    <row r="21" spans="1:10" x14ac:dyDescent="0.25">
      <c r="A21" s="25" t="s">
        <v>25</v>
      </c>
      <c r="B21" s="90">
        <f>B20</f>
        <v>8.5</v>
      </c>
      <c r="C21" s="19">
        <f>SUM(C18:C20)</f>
        <v>38.566716981132082</v>
      </c>
      <c r="D21" s="19">
        <f>SUM(D18:D20)</f>
        <v>28.940000000000005</v>
      </c>
      <c r="E21" s="19">
        <f>SUM(E18:E20)</f>
        <v>0.34</v>
      </c>
      <c r="F21" s="19">
        <f>SUM(B21:E21)</f>
        <v>76.34671698113209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35">
        <f>B21/$F$21</f>
        <v>0.11133419138508134</v>
      </c>
      <c r="C22" s="235">
        <f>C21/$F$21</f>
        <v>0.50515226464372065</v>
      </c>
      <c r="D22" s="235">
        <f>D21/$F$21</f>
        <v>0.37906017631579469</v>
      </c>
      <c r="E22" s="235">
        <f>E21/$F$21</f>
        <v>4.453367655403254E-3</v>
      </c>
      <c r="F22" s="235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mergeCells count="13">
    <mergeCell ref="B11:C11"/>
    <mergeCell ref="D11:F11"/>
    <mergeCell ref="B2:F2"/>
    <mergeCell ref="B3:F3"/>
    <mergeCell ref="A7:J7"/>
    <mergeCell ref="D9:F9"/>
    <mergeCell ref="D10:F10"/>
    <mergeCell ref="D12:F12"/>
    <mergeCell ref="A14:J14"/>
    <mergeCell ref="G16:G17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sqref="A1:J22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476" t="str">
        <f>'[18]F 1 _ Echant et Séchage'!D5</f>
        <v>STO-P15-PC-BAN</v>
      </c>
      <c r="C2" s="476"/>
      <c r="D2" s="476"/>
      <c r="E2" s="476"/>
      <c r="F2" s="476"/>
      <c r="G2" s="2"/>
      <c r="H2" s="2"/>
      <c r="I2" s="2"/>
      <c r="J2" s="2"/>
    </row>
    <row r="3" spans="1:10" x14ac:dyDescent="0.25">
      <c r="A3" s="1" t="s">
        <v>1</v>
      </c>
      <c r="B3" s="483" t="str">
        <f>'[18]F 1 _ Echant et Séchage'!D6</f>
        <v>CP-053-LS - Neuilly sur Seine Voies étroites</v>
      </c>
      <c r="C3" s="483"/>
      <c r="D3" s="483"/>
      <c r="E3" s="483"/>
      <c r="F3" s="483"/>
      <c r="G3" s="3"/>
      <c r="H3" s="3"/>
      <c r="I3" s="3"/>
      <c r="J3" s="3"/>
    </row>
    <row r="4" spans="1:10" x14ac:dyDescent="0.25">
      <c r="A4" s="1" t="s">
        <v>2</v>
      </c>
      <c r="B4" s="243"/>
      <c r="C4" s="243" t="str">
        <f>'[18]F 1 _ Echant et Séchage'!D8</f>
        <v>SAINT OUEN</v>
      </c>
      <c r="D4" s="243"/>
      <c r="E4" s="243"/>
      <c r="F4" s="243"/>
      <c r="G4" s="3"/>
      <c r="H4" s="3"/>
      <c r="I4" s="3"/>
      <c r="J4" s="3"/>
    </row>
    <row r="5" spans="1:10" x14ac:dyDescent="0.25">
      <c r="A5" s="1" t="s">
        <v>3</v>
      </c>
      <c r="B5" s="243"/>
      <c r="C5" s="243" t="str">
        <f>'[18]F 1 _ Echant et Séchage'!E15</f>
        <v>sec, ensoleillé</v>
      </c>
      <c r="D5" s="243"/>
      <c r="E5" s="243"/>
      <c r="F5" s="243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478" t="s">
        <v>4</v>
      </c>
      <c r="B7" s="478"/>
      <c r="C7" s="478"/>
      <c r="D7" s="478"/>
      <c r="E7" s="478"/>
      <c r="F7" s="478"/>
      <c r="G7" s="478"/>
      <c r="H7" s="478"/>
      <c r="I7" s="478"/>
      <c r="J7" s="478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'[18]F 1 _ Echant et Séchage'!B12</f>
        <v>42159</v>
      </c>
      <c r="C9" s="1"/>
      <c r="D9" s="477" t="s">
        <v>6</v>
      </c>
      <c r="E9" s="477"/>
      <c r="F9" s="477"/>
      <c r="G9" s="6">
        <f>'[18]F 1 _ Echant et Séchage'!G19</f>
        <v>129.01999999999998</v>
      </c>
      <c r="H9" s="6"/>
      <c r="I9" s="7"/>
      <c r="J9" s="1" t="s">
        <v>7</v>
      </c>
    </row>
    <row r="10" spans="1:10" x14ac:dyDescent="0.25">
      <c r="A10" s="1" t="s">
        <v>8</v>
      </c>
      <c r="B10" s="8" t="str">
        <f>'[18]F 1 _ Echant et Séchage'!E12</f>
        <v>9h35</v>
      </c>
      <c r="C10" s="1"/>
      <c r="D10" s="477" t="s">
        <v>9</v>
      </c>
      <c r="E10" s="477"/>
      <c r="F10" s="477"/>
      <c r="G10" s="243">
        <f>'[18]F 1 _ Echant et Séchage'!H26</f>
        <v>0.54</v>
      </c>
      <c r="H10" s="243"/>
      <c r="I10" s="9"/>
      <c r="J10" s="1" t="s">
        <v>10</v>
      </c>
    </row>
    <row r="11" spans="1:10" x14ac:dyDescent="0.25">
      <c r="A11" s="1"/>
      <c r="B11" s="477"/>
      <c r="C11" s="477"/>
      <c r="D11" s="477" t="s">
        <v>11</v>
      </c>
      <c r="E11" s="477"/>
      <c r="F11" s="477"/>
      <c r="G11" s="10">
        <f>G9/1000/G10</f>
        <v>0.23892592592592585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477" t="s">
        <v>13</v>
      </c>
      <c r="E12" s="477"/>
      <c r="F12" s="477"/>
      <c r="G12" s="231">
        <f>'[18]F 1 _ Echant et Séchage'!D51</f>
        <v>0.33025887459308628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478" t="s">
        <v>14</v>
      </c>
      <c r="B14" s="478"/>
      <c r="C14" s="478"/>
      <c r="D14" s="478"/>
      <c r="E14" s="478"/>
      <c r="F14" s="478"/>
      <c r="G14" s="478"/>
      <c r="H14" s="478"/>
      <c r="I14" s="478"/>
      <c r="J14" s="478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479" t="s">
        <v>16</v>
      </c>
      <c r="H16" s="559"/>
      <c r="I16" s="560"/>
      <c r="J16" s="559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0"/>
      <c r="H17" s="559"/>
      <c r="I17" s="560"/>
      <c r="J17" s="559"/>
    </row>
    <row r="18" spans="1:10" ht="25.5" x14ac:dyDescent="0.25">
      <c r="A18" s="246" t="s">
        <v>109</v>
      </c>
      <c r="B18" s="18" t="s">
        <v>111</v>
      </c>
      <c r="C18" s="19">
        <f>'[18]F 4 TRI _ Granulo'!K5</f>
        <v>27.67967611336033</v>
      </c>
      <c r="D18" s="20">
        <f>'[18]F 4 TRI _ Granulo'!H5</f>
        <v>38.299999999999997</v>
      </c>
      <c r="E18" s="20">
        <f>'[18]F 4 TRI _ Granulo'!E5</f>
        <v>3.36</v>
      </c>
      <c r="F18" s="20">
        <f>SUM(C18:E18)</f>
        <v>69.339676113360326</v>
      </c>
      <c r="G18" s="21">
        <f>F18/$F$21</f>
        <v>0.81858999237182661</v>
      </c>
      <c r="H18" s="98"/>
      <c r="I18" s="99"/>
      <c r="J18" s="99"/>
    </row>
    <row r="19" spans="1:10" ht="25.5" x14ac:dyDescent="0.25">
      <c r="A19" s="244" t="s">
        <v>110</v>
      </c>
      <c r="B19" s="18" t="s">
        <v>112</v>
      </c>
      <c r="C19" s="19">
        <f>'[18]F 4 TRI _ Granulo'!K6</f>
        <v>8.9240485829959546</v>
      </c>
      <c r="D19" s="20">
        <f>'[18]F 4 TRI _ Granulo'!H6</f>
        <v>1.2800000000000002</v>
      </c>
      <c r="E19" s="20">
        <f>'[18]F 4 TRI _ Granulo'!E6</f>
        <v>0</v>
      </c>
      <c r="F19" s="20">
        <f>SUM(C19:E19)</f>
        <v>10.204048582995956</v>
      </c>
      <c r="G19" s="21">
        <f>F19/$F$21</f>
        <v>0.12046396118234781</v>
      </c>
      <c r="H19" s="98"/>
      <c r="I19" s="100"/>
      <c r="J19" s="100"/>
    </row>
    <row r="20" spans="1:10" x14ac:dyDescent="0.25">
      <c r="A20" s="22" t="s">
        <v>74</v>
      </c>
      <c r="B20" s="23">
        <f>'[18]F 3 _ Criblage et Tri'!C27+'[18]F 3 _ Criblage et Tri'!D27</f>
        <v>4.78</v>
      </c>
      <c r="C20" s="19">
        <f>'[18]F 4 TRI _ Granulo'!K7</f>
        <v>0.30251012145749018</v>
      </c>
      <c r="D20" s="20">
        <f>'[18]F 4 TRI _ Granulo'!H7</f>
        <v>8.0000000000000071E-2</v>
      </c>
      <c r="E20" s="20">
        <f>'[18]F 4 TRI _ Granulo'!E7</f>
        <v>0</v>
      </c>
      <c r="F20" s="19">
        <f>SUM(B20:E20)</f>
        <v>5.1625101214574904</v>
      </c>
      <c r="G20" s="21">
        <f>F20/$F$21</f>
        <v>6.0946046445825637E-2</v>
      </c>
      <c r="H20" s="98"/>
      <c r="I20" s="101"/>
      <c r="J20" s="101"/>
    </row>
    <row r="21" spans="1:10" x14ac:dyDescent="0.25">
      <c r="A21" s="25" t="s">
        <v>25</v>
      </c>
      <c r="B21" s="90">
        <f>B20</f>
        <v>4.78</v>
      </c>
      <c r="C21" s="19">
        <f>SUM(C18:C20)</f>
        <v>36.906234817813768</v>
      </c>
      <c r="D21" s="19">
        <f>SUM(D18:D20)</f>
        <v>39.659999999999997</v>
      </c>
      <c r="E21" s="19">
        <f>SUM(E18:E20)</f>
        <v>3.36</v>
      </c>
      <c r="F21" s="19">
        <f>SUM(B21:E21)</f>
        <v>84.706234817813765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35">
        <f>B21/$F$21</f>
        <v>5.6430320746528609E-2</v>
      </c>
      <c r="C22" s="235">
        <f>C21/$F$21</f>
        <v>0.43569679253471394</v>
      </c>
      <c r="D22" s="235">
        <f>D21/$F$21</f>
        <v>0.46820638510613483</v>
      </c>
      <c r="E22" s="235">
        <f>E21/$F$21</f>
        <v>3.9666501612622619E-2</v>
      </c>
      <c r="F22" s="235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mergeCells count="13">
    <mergeCell ref="B2:F2"/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R22" sqref="R22"/>
    </sheetView>
  </sheetViews>
  <sheetFormatPr baseColWidth="10" defaultRowHeight="15" x14ac:dyDescent="0.25"/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1" t="s">
        <v>0</v>
      </c>
      <c r="B2" s="476" t="str">
        <f>'[19]F 1 _ Echant et Séchage'!D5</f>
        <v>STO-P15-PC-PAR</v>
      </c>
      <c r="C2" s="476"/>
      <c r="D2" s="476"/>
      <c r="E2" s="476"/>
      <c r="F2" s="476"/>
      <c r="G2" s="2"/>
      <c r="H2" s="2"/>
      <c r="I2" s="2"/>
      <c r="J2" s="2"/>
      <c r="K2" s="1"/>
    </row>
    <row r="3" spans="1:11" x14ac:dyDescent="0.25">
      <c r="A3" s="1" t="s">
        <v>1</v>
      </c>
      <c r="B3" s="483" t="str">
        <f>'[19]F 1 _ Echant et Séchage'!D6</f>
        <v>DF-685-MN - PARIS 9EME ARRDT</v>
      </c>
      <c r="C3" s="483"/>
      <c r="D3" s="483"/>
      <c r="E3" s="483"/>
      <c r="F3" s="483"/>
      <c r="G3" s="3"/>
      <c r="H3" s="3"/>
      <c r="I3" s="3"/>
      <c r="J3" s="3"/>
      <c r="K3" s="1"/>
    </row>
    <row r="4" spans="1:11" x14ac:dyDescent="0.25">
      <c r="A4" s="1" t="s">
        <v>2</v>
      </c>
      <c r="B4" s="243"/>
      <c r="C4" s="243" t="str">
        <f>'[19]F 1 _ Echant et Séchage'!D8</f>
        <v>SAINT OUEN</v>
      </c>
      <c r="D4" s="243"/>
      <c r="E4" s="243"/>
      <c r="F4" s="243"/>
      <c r="G4" s="3"/>
      <c r="H4" s="3"/>
      <c r="I4" s="3"/>
      <c r="J4" s="3"/>
      <c r="K4" s="1"/>
    </row>
    <row r="5" spans="1:11" x14ac:dyDescent="0.25">
      <c r="A5" s="1" t="s">
        <v>3</v>
      </c>
      <c r="B5" s="243"/>
      <c r="C5" s="243" t="str">
        <f>'[19]F 1 _ Echant et Séchage'!E15</f>
        <v>sec, ensoleillé</v>
      </c>
      <c r="D5" s="243"/>
      <c r="E5" s="243"/>
      <c r="F5" s="243"/>
      <c r="G5" s="3"/>
      <c r="H5" s="3"/>
      <c r="I5" s="3"/>
      <c r="J5" s="3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8.75" x14ac:dyDescent="0.25">
      <c r="A7" s="478" t="s">
        <v>4</v>
      </c>
      <c r="B7" s="478"/>
      <c r="C7" s="478"/>
      <c r="D7" s="478"/>
      <c r="E7" s="478"/>
      <c r="F7" s="478"/>
      <c r="G7" s="478"/>
      <c r="H7" s="478"/>
      <c r="I7" s="478"/>
      <c r="J7" s="478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4"/>
      <c r="J8" s="1"/>
      <c r="K8" s="1"/>
    </row>
    <row r="9" spans="1:11" x14ac:dyDescent="0.25">
      <c r="A9" s="1" t="s">
        <v>5</v>
      </c>
      <c r="B9" s="5">
        <f>'[19]F 1 _ Echant et Séchage'!B12</f>
        <v>42159</v>
      </c>
      <c r="C9" s="1"/>
      <c r="D9" s="477" t="s">
        <v>6</v>
      </c>
      <c r="E9" s="477"/>
      <c r="F9" s="477"/>
      <c r="G9" s="6">
        <f>'[19]F 1 _ Echant et Séchage'!G19</f>
        <v>126.39999999999999</v>
      </c>
      <c r="H9" s="6"/>
      <c r="I9" s="7"/>
      <c r="J9" s="1" t="s">
        <v>7</v>
      </c>
      <c r="K9" s="1"/>
    </row>
    <row r="10" spans="1:11" x14ac:dyDescent="0.25">
      <c r="A10" s="1" t="s">
        <v>8</v>
      </c>
      <c r="B10" s="8" t="str">
        <f>'[19]F 1 _ Echant et Séchage'!E12</f>
        <v>8H25</v>
      </c>
      <c r="C10" s="1"/>
      <c r="D10" s="477" t="s">
        <v>9</v>
      </c>
      <c r="E10" s="477"/>
      <c r="F10" s="477"/>
      <c r="G10" s="243">
        <f>'[19]F 1 _ Echant et Séchage'!H26</f>
        <v>0.55000000000000004</v>
      </c>
      <c r="H10" s="243"/>
      <c r="I10" s="9"/>
      <c r="J10" s="1" t="s">
        <v>10</v>
      </c>
      <c r="K10" s="1"/>
    </row>
    <row r="11" spans="1:11" x14ac:dyDescent="0.25">
      <c r="A11" s="1"/>
      <c r="B11" s="477"/>
      <c r="C11" s="477"/>
      <c r="D11" s="477" t="s">
        <v>11</v>
      </c>
      <c r="E11" s="477"/>
      <c r="F11" s="477"/>
      <c r="G11" s="10">
        <f>G9/1000/G10</f>
        <v>0.22981818181818178</v>
      </c>
      <c r="H11" s="10"/>
      <c r="I11" s="3"/>
      <c r="J11" s="3" t="s">
        <v>12</v>
      </c>
      <c r="K11" s="1"/>
    </row>
    <row r="12" spans="1:11" x14ac:dyDescent="0.25">
      <c r="A12" s="1"/>
      <c r="B12" s="7"/>
      <c r="C12" s="1"/>
      <c r="D12" s="477" t="s">
        <v>13</v>
      </c>
      <c r="E12" s="477"/>
      <c r="F12" s="477"/>
      <c r="G12" s="236">
        <f>'[19]F 1 _ Echant et Séchage'!D51</f>
        <v>0.36657436708860747</v>
      </c>
      <c r="H12" s="11"/>
      <c r="I12" s="11"/>
      <c r="J12" s="1"/>
      <c r="K12" s="1"/>
    </row>
    <row r="13" spans="1:11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  <c r="K13" s="1"/>
    </row>
    <row r="14" spans="1:11" ht="18.75" x14ac:dyDescent="0.25">
      <c r="A14" s="478" t="s">
        <v>14</v>
      </c>
      <c r="B14" s="478"/>
      <c r="C14" s="478"/>
      <c r="D14" s="478"/>
      <c r="E14" s="478"/>
      <c r="F14" s="478"/>
      <c r="G14" s="478"/>
      <c r="H14" s="478"/>
      <c r="I14" s="478"/>
      <c r="J14" s="478"/>
      <c r="K14" s="1"/>
    </row>
    <row r="15" spans="1:1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"/>
    </row>
    <row r="16" spans="1:11" ht="15.75" customHeight="1" thickBot="1" x14ac:dyDescent="0.3">
      <c r="A16" s="1"/>
      <c r="B16" s="1"/>
      <c r="C16" s="14" t="s">
        <v>15</v>
      </c>
      <c r="D16" s="15"/>
      <c r="E16" s="15"/>
      <c r="F16" s="15"/>
      <c r="G16" s="479" t="s">
        <v>16</v>
      </c>
      <c r="H16" s="559"/>
      <c r="I16" s="560"/>
      <c r="J16" s="559"/>
      <c r="K16" s="1"/>
    </row>
    <row r="17" spans="1:15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0"/>
      <c r="H17" s="559"/>
      <c r="I17" s="560"/>
      <c r="J17" s="559"/>
      <c r="K17" s="1"/>
    </row>
    <row r="18" spans="1:15" ht="25.5" x14ac:dyDescent="0.25">
      <c r="A18" s="246" t="s">
        <v>109</v>
      </c>
      <c r="B18" s="18" t="s">
        <v>111</v>
      </c>
      <c r="C18" s="19">
        <f>'[19]F 4 TRI _ Granulo'!K5</f>
        <v>27.871713147410354</v>
      </c>
      <c r="D18" s="20">
        <f>'[19]F 4 TRI _ Granulo'!H5</f>
        <v>29.740000000000002</v>
      </c>
      <c r="E18" s="20">
        <f>'[19]F 4 TRI _ Granulo'!E5</f>
        <v>0.52</v>
      </c>
      <c r="F18" s="20">
        <f>SUM(C18:E18)</f>
        <v>58.131713147410359</v>
      </c>
      <c r="G18" s="21">
        <f>F18/$F$21</f>
        <v>0.72549819061266607</v>
      </c>
      <c r="H18" s="98"/>
      <c r="I18" s="99"/>
      <c r="J18" s="99"/>
      <c r="K18" s="1"/>
    </row>
    <row r="19" spans="1:15" ht="25.5" x14ac:dyDescent="0.25">
      <c r="A19" s="244" t="s">
        <v>110</v>
      </c>
      <c r="B19" s="18" t="s">
        <v>112</v>
      </c>
      <c r="C19" s="19">
        <f>'[19]F 4 TRI _ Granulo'!K6</f>
        <v>7.921434262948206</v>
      </c>
      <c r="D19" s="20">
        <f>'[19]F 4 TRI _ Granulo'!H6</f>
        <v>5.08</v>
      </c>
      <c r="E19" s="20">
        <f>'[19]F 4 TRI _ Granulo'!E6</f>
        <v>0</v>
      </c>
      <c r="F19" s="20">
        <f>SUM(C19:E19)</f>
        <v>13.001434262948205</v>
      </c>
      <c r="G19" s="21">
        <f>F19/$F$21</f>
        <v>0.16226112258586761</v>
      </c>
      <c r="H19" s="98"/>
      <c r="I19" s="100"/>
      <c r="J19" s="100"/>
      <c r="K19" s="1"/>
    </row>
    <row r="20" spans="1:15" x14ac:dyDescent="0.25">
      <c r="A20" s="22" t="s">
        <v>74</v>
      </c>
      <c r="B20" s="23">
        <f>'[19]F 3 _ Criblage et Tri'!C27+'[19]F 3 _ Criblage et Tri'!D27</f>
        <v>7.98</v>
      </c>
      <c r="C20" s="19">
        <f>'[19]F 4 TRI _ Granulo'!K7</f>
        <v>0.73346613545816797</v>
      </c>
      <c r="D20" s="20">
        <f>'[19]F 4 TRI _ Granulo'!H7</f>
        <v>0.28000000000000025</v>
      </c>
      <c r="E20" s="20">
        <f>'[19]F 4 TRI _ Granulo'!E7</f>
        <v>0</v>
      </c>
      <c r="F20" s="19">
        <f>SUM(B20:E20)</f>
        <v>8.9934661354581671</v>
      </c>
      <c r="G20" s="21">
        <f>F20/$F$21</f>
        <v>0.11224068680146664</v>
      </c>
      <c r="H20" s="98"/>
      <c r="I20" s="101"/>
      <c r="J20" s="101"/>
      <c r="K20" s="1"/>
    </row>
    <row r="21" spans="1:15" x14ac:dyDescent="0.25">
      <c r="A21" s="25" t="s">
        <v>25</v>
      </c>
      <c r="B21" s="90">
        <f>B20</f>
        <v>7.98</v>
      </c>
      <c r="C21" s="19">
        <f>SUM(C18:C20)</f>
        <v>36.526613545816723</v>
      </c>
      <c r="D21" s="19">
        <f>SUM(D18:D20)</f>
        <v>35.1</v>
      </c>
      <c r="E21" s="19">
        <f>SUM(E18:E20)</f>
        <v>0.52</v>
      </c>
      <c r="F21" s="19">
        <f>SUM(B21:E21)</f>
        <v>80.12661354581671</v>
      </c>
      <c r="G21" s="21">
        <f>F21/$F$21</f>
        <v>1</v>
      </c>
      <c r="H21" s="98"/>
      <c r="I21" s="101"/>
      <c r="J21" s="101"/>
      <c r="K21" s="1"/>
    </row>
    <row r="22" spans="1:15" ht="51.75" x14ac:dyDescent="0.25">
      <c r="A22" s="26" t="s">
        <v>75</v>
      </c>
      <c r="B22" s="235">
        <f>B21/$F$21</f>
        <v>9.9592378198250009E-2</v>
      </c>
      <c r="C22" s="235">
        <f>C21/$F$21</f>
        <v>0.45586119179903517</v>
      </c>
      <c r="D22" s="235">
        <f>D21/$F$21</f>
        <v>0.43805670109756584</v>
      </c>
      <c r="E22" s="235">
        <f>E21/$F$21</f>
        <v>6.4897289051491234E-3</v>
      </c>
      <c r="F22" s="235">
        <f>F21/$F$21</f>
        <v>1</v>
      </c>
      <c r="G22" s="1"/>
      <c r="H22" s="1"/>
      <c r="I22" s="1"/>
      <c r="J22" s="1"/>
      <c r="K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6" spans="1:15" x14ac:dyDescent="0.25">
      <c r="O26" s="239"/>
    </row>
  </sheetData>
  <mergeCells count="13">
    <mergeCell ref="B2:F2"/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F30" sqref="F30"/>
    </sheetView>
  </sheetViews>
  <sheetFormatPr baseColWidth="10" defaultRowHeight="15" x14ac:dyDescent="0.25"/>
  <cols>
    <col min="2" max="2" width="30" customWidth="1"/>
    <col min="3" max="13" width="16.7109375" customWidth="1"/>
  </cols>
  <sheetData>
    <row r="1" spans="1:14" x14ac:dyDescent="0.25">
      <c r="A1" s="561"/>
      <c r="B1" s="91"/>
      <c r="C1" s="102" t="str">
        <f>'ISS P15 PC BAN'!B2</f>
        <v>ISS-P15-PC-BAN</v>
      </c>
      <c r="D1" s="103" t="str">
        <f>'ISS P15 PC PAR'!B2</f>
        <v>ISS-P15-PC-PAR</v>
      </c>
      <c r="E1" s="103" t="str">
        <f>'IVR P15 PC BAN'!B2</f>
        <v>IVR P15 PC BAN</v>
      </c>
      <c r="F1" s="103" t="str">
        <f>'IVR P15 PC PAR'!B2</f>
        <v>IVR P15 PC PAR</v>
      </c>
      <c r="G1" s="103" t="str">
        <f>'ROM P15 PC BAN '!B2</f>
        <v>ROM P15 PC BAN</v>
      </c>
      <c r="H1" s="103" t="str">
        <f>'ROM P15 PC PAR'!B2</f>
        <v>ROM P15 PC PAR</v>
      </c>
      <c r="I1" s="103" t="str">
        <f>'STO P15 PC BAN'!B2</f>
        <v>STO-P15-PC-BAN</v>
      </c>
      <c r="J1" s="103" t="str">
        <f>'STO P15 PC PAR'!B2</f>
        <v>STO-P15-PC-PAR</v>
      </c>
      <c r="K1" s="104" t="s">
        <v>76</v>
      </c>
      <c r="L1" s="105" t="s">
        <v>77</v>
      </c>
      <c r="M1" s="105" t="s">
        <v>78</v>
      </c>
    </row>
    <row r="2" spans="1:14" x14ac:dyDescent="0.25">
      <c r="A2" s="561"/>
      <c r="B2" s="93" t="str">
        <f>'[9]F 1 _ Echant et Séchage'!D5</f>
        <v>ISS A14 PB BAN</v>
      </c>
      <c r="C2" s="106">
        <f>'ISS P15 PC BAN'!G11</f>
        <v>0.29799999999999999</v>
      </c>
      <c r="D2" s="106">
        <f>'ISS P15 PC PAR'!G11</f>
        <v>0.29576190476190478</v>
      </c>
      <c r="E2" s="106">
        <f>'IVR P15 PC BAN'!G11</f>
        <v>0.25248000000000004</v>
      </c>
      <c r="F2" s="106">
        <f>'IVR P15 PC PAR'!G11</f>
        <v>0.25452000000000002</v>
      </c>
      <c r="G2" s="106">
        <f>'ROM P15 PC BAN '!G11</f>
        <v>0.31819999999999998</v>
      </c>
      <c r="H2" s="106">
        <f>'ROM P15 PC PAR'!G11</f>
        <v>0.25639999999999996</v>
      </c>
      <c r="I2" s="106">
        <f>'STO P15 PC BAN'!G11</f>
        <v>0.23892592592592585</v>
      </c>
      <c r="J2" s="106">
        <f>'STO P15 PC PAR'!G11</f>
        <v>0.22981818181818178</v>
      </c>
      <c r="K2" s="107">
        <f>AVERAGE(C2:J2)</f>
        <v>0.26801325156325156</v>
      </c>
      <c r="L2" s="107">
        <f>AVERAGE(D2,F2,H2,J2)</f>
        <v>0.2591250216450216</v>
      </c>
      <c r="M2" s="107">
        <f>AVERAGE(C2,E2,G2,I2)</f>
        <v>0.27690148148148147</v>
      </c>
    </row>
    <row r="3" spans="1:14" x14ac:dyDescent="0.25">
      <c r="A3" s="561"/>
      <c r="B3" s="93" t="s">
        <v>79</v>
      </c>
      <c r="C3" s="228">
        <f>'ISS P15 PC BAN'!G12</f>
        <v>0.41770533716842434</v>
      </c>
      <c r="D3" s="228">
        <f>'ISS P15 PC PAR'!G12</f>
        <v>0.43744968604089524</v>
      </c>
      <c r="E3" s="228">
        <f>'IVR P15 PC BAN'!G12</f>
        <v>0.39052598225602037</v>
      </c>
      <c r="F3" s="228">
        <f>'IVR P15 PC PAR'!G12</f>
        <v>0.47072921577872073</v>
      </c>
      <c r="G3" s="229">
        <f>'ROM P15 PC BAN '!G12</f>
        <v>0.4267127592708988</v>
      </c>
      <c r="H3" s="228">
        <f>'ROM P15 PC PAR'!G12</f>
        <v>0.40015600624024961</v>
      </c>
      <c r="I3" s="228">
        <f>'STO P15 PC BAN'!G12</f>
        <v>0.33025887459308628</v>
      </c>
      <c r="J3" s="228">
        <f>'STO P15 PC PAR'!G12</f>
        <v>0.36657436708860747</v>
      </c>
      <c r="K3" s="230">
        <f>AVERAGE(C3:J3)</f>
        <v>0.40501402855461283</v>
      </c>
      <c r="L3" s="230">
        <f>AVERAGE(D3,F3,H3,J3)</f>
        <v>0.41872731878711827</v>
      </c>
      <c r="M3" s="230">
        <f>AVERAGE(C3,E3,G3,I3)</f>
        <v>0.39130073832210749</v>
      </c>
    </row>
    <row r="4" spans="1:14" ht="15" customHeight="1" x14ac:dyDescent="0.25">
      <c r="A4" s="567"/>
      <c r="B4" s="567"/>
      <c r="C4" s="566" t="s">
        <v>16</v>
      </c>
      <c r="D4" s="566" t="s">
        <v>16</v>
      </c>
      <c r="E4" s="566" t="s">
        <v>16</v>
      </c>
      <c r="F4" s="566" t="s">
        <v>16</v>
      </c>
      <c r="G4" s="566" t="s">
        <v>16</v>
      </c>
      <c r="H4" s="566" t="s">
        <v>16</v>
      </c>
      <c r="I4" s="566" t="s">
        <v>16</v>
      </c>
      <c r="J4" s="566" t="s">
        <v>16</v>
      </c>
      <c r="K4" s="566" t="s">
        <v>107</v>
      </c>
      <c r="L4" s="566" t="s">
        <v>107</v>
      </c>
      <c r="M4" s="566" t="s">
        <v>107</v>
      </c>
    </row>
    <row r="5" spans="1:14" x14ac:dyDescent="0.25">
      <c r="A5" s="92" t="s">
        <v>20</v>
      </c>
      <c r="B5" s="92"/>
      <c r="C5" s="566"/>
      <c r="D5" s="566"/>
      <c r="E5" s="566"/>
      <c r="F5" s="566"/>
      <c r="G5" s="566"/>
      <c r="H5" s="566"/>
      <c r="I5" s="566"/>
      <c r="J5" s="566"/>
      <c r="K5" s="566"/>
      <c r="L5" s="566"/>
      <c r="M5" s="566"/>
    </row>
    <row r="6" spans="1:14" ht="38.25" customHeight="1" x14ac:dyDescent="0.25">
      <c r="A6" s="562" t="s">
        <v>56</v>
      </c>
      <c r="B6" s="563"/>
      <c r="C6" s="110">
        <f>'ISS P15 PC BAN'!G18</f>
        <v>0.7340416496426978</v>
      </c>
      <c r="D6" s="110">
        <f>'ISS P15 PC PAR'!G18</f>
        <v>0.80359307675454605</v>
      </c>
      <c r="E6" s="110">
        <f>'IVR P15 PC BAN'!G18</f>
        <v>0.70682222616830193</v>
      </c>
      <c r="F6" s="110">
        <f>'IVR P15 PC PAR'!G18</f>
        <v>0.7127475684713751</v>
      </c>
      <c r="G6" s="110">
        <f>'ROM P15 PC BAN '!G18</f>
        <v>0.6789797783374244</v>
      </c>
      <c r="H6" s="110">
        <f>'ROM P15 PC PAR'!G18</f>
        <v>0.66864077881047146</v>
      </c>
      <c r="I6" s="110">
        <f>'STO P15 PC BAN'!G18</f>
        <v>0.81858999237182661</v>
      </c>
      <c r="J6" s="110">
        <f>'STO P15 PC PAR'!G18</f>
        <v>0.72549819061266607</v>
      </c>
      <c r="K6" s="108">
        <f>AVERAGE(C6,D6,E6,F6,G6,H6,I6,J6)</f>
        <v>0.73111415764616372</v>
      </c>
      <c r="L6" s="108">
        <f>AVERAGE(D6,F6,H6,J6)</f>
        <v>0.7276199036622647</v>
      </c>
      <c r="M6" s="108">
        <f>AVERAGE(C6,E6,G6,I6)</f>
        <v>0.73460841163006274</v>
      </c>
      <c r="N6" s="232">
        <f>+(M6+L6)/2-K6</f>
        <v>0</v>
      </c>
    </row>
    <row r="7" spans="1:14" ht="38.25" customHeight="1" x14ac:dyDescent="0.25">
      <c r="A7" s="564" t="s">
        <v>67</v>
      </c>
      <c r="B7" s="565"/>
      <c r="C7" s="96">
        <f>'ISS P15 PC BAN'!G19</f>
        <v>0.12459578318154066</v>
      </c>
      <c r="D7" s="96">
        <f>'ISS P15 PC PAR'!G19</f>
        <v>0.11648774312909273</v>
      </c>
      <c r="E7" s="96">
        <f>'IVR P15 PC BAN'!G19</f>
        <v>0.13885876854605012</v>
      </c>
      <c r="F7" s="96">
        <f>'IVR P15 PC PAR'!G19</f>
        <v>0.16020535525045329</v>
      </c>
      <c r="G7" s="96">
        <f>'ROM P15 PC BAN '!G19</f>
        <v>0.2256022400034004</v>
      </c>
      <c r="H7" s="96">
        <f>'ROM P15 PC PAR'!G19</f>
        <v>0.19863403697530824</v>
      </c>
      <c r="I7" s="96">
        <f>'STO P15 PC BAN'!G19</f>
        <v>0.12046396118234781</v>
      </c>
      <c r="J7" s="96">
        <f>'STO P15 PC PAR'!G19</f>
        <v>0.16226112258586761</v>
      </c>
      <c r="K7" s="60">
        <f>AVERAGE(C7,D7,E7,F7,G7,H7,I7,J7)</f>
        <v>0.15588862635675763</v>
      </c>
      <c r="L7" s="60">
        <f>AVERAGE(D7,F7,H7,J7)</f>
        <v>0.15939706448518048</v>
      </c>
      <c r="M7" s="60">
        <f>AVERAGE(C7,E7,G7,I7)</f>
        <v>0.15238018822833477</v>
      </c>
      <c r="N7" s="232">
        <f t="shared" ref="N7:N8" si="0">+(M7+L7)/2-K7</f>
        <v>0</v>
      </c>
    </row>
    <row r="8" spans="1:14" x14ac:dyDescent="0.25">
      <c r="A8" s="47" t="s">
        <v>74</v>
      </c>
      <c r="B8" s="109"/>
      <c r="C8" s="110">
        <f>'ISS P15 PC BAN'!G20</f>
        <v>0.14136256717576162</v>
      </c>
      <c r="D8" s="110">
        <f>'ISS P15 PC PAR'!G20</f>
        <v>7.9919180116361177E-2</v>
      </c>
      <c r="E8" s="110">
        <f>'IVR P15 PC BAN'!G20</f>
        <v>0.1543190052856479</v>
      </c>
      <c r="F8" s="110">
        <f>'IVR P15 PC PAR'!G20</f>
        <v>0.12704707627817158</v>
      </c>
      <c r="G8" s="110">
        <f>'ROM P15 PC BAN '!G20</f>
        <v>9.5417981659175213E-2</v>
      </c>
      <c r="H8" s="110">
        <f>'ROM P15 PC PAR'!G20</f>
        <v>0.13272518421422033</v>
      </c>
      <c r="I8" s="110">
        <f>'STO P15 PC BAN'!G20</f>
        <v>6.0946046445825637E-2</v>
      </c>
      <c r="J8" s="110">
        <f>'STO P15 PC PAR'!G20</f>
        <v>0.11224068680146664</v>
      </c>
      <c r="K8" s="108">
        <f>AVERAGE(C8,D8,E8,F8,G8,H8,I8,J8)</f>
        <v>0.11299721599707876</v>
      </c>
      <c r="L8" s="108">
        <f>AVERAGE(D8,F8,H8,J8)</f>
        <v>0.11298303185255494</v>
      </c>
      <c r="M8" s="108">
        <f>AVERAGE(C8,E8,G8,I8)</f>
        <v>0.11301140014160259</v>
      </c>
      <c r="N8" s="232">
        <f t="shared" si="0"/>
        <v>0</v>
      </c>
    </row>
    <row r="9" spans="1:14" x14ac:dyDescent="0.25">
      <c r="A9" s="94" t="s">
        <v>25</v>
      </c>
      <c r="B9" s="95"/>
      <c r="C9" s="96">
        <f t="shared" ref="C9:M9" si="1">SUM(C6:C8)</f>
        <v>1</v>
      </c>
      <c r="D9" s="97">
        <f t="shared" si="1"/>
        <v>1</v>
      </c>
      <c r="E9" s="97">
        <f t="shared" si="1"/>
        <v>0.99999999999999989</v>
      </c>
      <c r="F9" s="97">
        <f t="shared" si="1"/>
        <v>1</v>
      </c>
      <c r="G9" s="97">
        <f t="shared" si="1"/>
        <v>1</v>
      </c>
      <c r="H9" s="97">
        <f t="shared" si="1"/>
        <v>1</v>
      </c>
      <c r="I9" s="97">
        <f t="shared" si="1"/>
        <v>1</v>
      </c>
      <c r="J9" s="97">
        <f t="shared" si="1"/>
        <v>1.0000000000000004</v>
      </c>
      <c r="K9" s="97">
        <f t="shared" si="1"/>
        <v>1</v>
      </c>
      <c r="L9" s="97">
        <f t="shared" si="1"/>
        <v>1</v>
      </c>
      <c r="M9" s="97">
        <f t="shared" si="1"/>
        <v>1</v>
      </c>
    </row>
  </sheetData>
  <mergeCells count="15">
    <mergeCell ref="A1:A3"/>
    <mergeCell ref="A6:B6"/>
    <mergeCell ref="A7:B7"/>
    <mergeCell ref="M4:M5"/>
    <mergeCell ref="J4:J5"/>
    <mergeCell ref="K4:K5"/>
    <mergeCell ref="L4:L5"/>
    <mergeCell ref="G4:G5"/>
    <mergeCell ref="H4:H5"/>
    <mergeCell ref="I4:I5"/>
    <mergeCell ref="A4:B4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V31"/>
  <sheetViews>
    <sheetView zoomScaleNormal="100" workbookViewId="0">
      <pane ySplit="4" topLeftCell="A5" activePane="bottomLeft" state="frozen"/>
      <selection activeCell="J15" sqref="J15"/>
      <selection pane="bottomLeft" activeCell="J15" sqref="J15"/>
    </sheetView>
  </sheetViews>
  <sheetFormatPr baseColWidth="10" defaultRowHeight="15" x14ac:dyDescent="0.25"/>
  <cols>
    <col min="1" max="1" width="11.85546875" style="257" customWidth="1"/>
    <col min="2" max="3" width="12.5703125" style="257" hidden="1" customWidth="1"/>
    <col min="4" max="5" width="7.7109375" style="284" bestFit="1" customWidth="1"/>
    <col min="6" max="7" width="8.5703125" style="284" bestFit="1" customWidth="1"/>
    <col min="8" max="9" width="12.28515625" style="284" bestFit="1" customWidth="1"/>
    <col min="10" max="10" width="9" style="284" bestFit="1" customWidth="1"/>
    <col min="11" max="11" width="9" style="285" bestFit="1" customWidth="1"/>
    <col min="12" max="13" width="9.5703125" style="258" bestFit="1" customWidth="1"/>
    <col min="14" max="14" width="13.28515625" style="258" bestFit="1" customWidth="1"/>
    <col min="15" max="16" width="9.5703125" style="258" bestFit="1" customWidth="1"/>
    <col min="17" max="17" width="9.7109375" style="258" bestFit="1" customWidth="1"/>
    <col min="18" max="18" width="3" style="259" customWidth="1"/>
    <col min="19" max="22" width="11.42578125" style="260"/>
    <col min="23" max="16384" width="11.42578125" style="258"/>
  </cols>
  <sheetData>
    <row r="1" spans="1:22" ht="31.5" customHeight="1" x14ac:dyDescent="0.25">
      <c r="D1" s="572" t="s">
        <v>138</v>
      </c>
      <c r="E1" s="572"/>
      <c r="F1" s="572"/>
      <c r="G1" s="572"/>
      <c r="H1" s="572" t="s">
        <v>138</v>
      </c>
      <c r="I1" s="572"/>
      <c r="J1" s="572"/>
      <c r="K1" s="572"/>
    </row>
    <row r="2" spans="1:22" ht="20.25" customHeight="1" x14ac:dyDescent="0.25">
      <c r="D2" s="573" t="str">
        <f>' SYCTOM Déchets Orga'!D2:G2</f>
        <v>Campagne : Printemps 2015</v>
      </c>
      <c r="E2" s="573"/>
      <c r="F2" s="573"/>
      <c r="G2" s="573"/>
      <c r="H2" s="573" t="str">
        <f>D2</f>
        <v>Campagne : Printemps 2015</v>
      </c>
      <c r="I2" s="573"/>
      <c r="J2" s="573"/>
      <c r="K2" s="573"/>
    </row>
    <row r="3" spans="1:22" ht="20.25" customHeight="1" x14ac:dyDescent="0.25">
      <c r="A3" s="261"/>
      <c r="B3" s="261"/>
      <c r="C3" s="261"/>
      <c r="D3" s="574" t="s">
        <v>139</v>
      </c>
      <c r="E3" s="574"/>
      <c r="F3" s="574"/>
      <c r="G3" s="574"/>
      <c r="H3" s="574" t="s">
        <v>139</v>
      </c>
      <c r="I3" s="574"/>
      <c r="J3" s="574"/>
      <c r="K3" s="574"/>
    </row>
    <row r="4" spans="1:22" ht="30" x14ac:dyDescent="0.25">
      <c r="A4" s="262" t="s">
        <v>140</v>
      </c>
      <c r="B4" s="263" t="s">
        <v>141</v>
      </c>
      <c r="C4" s="264" t="s">
        <v>142</v>
      </c>
      <c r="D4" s="265" t="s">
        <v>143</v>
      </c>
      <c r="E4" s="265" t="s">
        <v>144</v>
      </c>
      <c r="F4" s="265" t="s">
        <v>145</v>
      </c>
      <c r="G4" s="265" t="s">
        <v>146</v>
      </c>
      <c r="H4" s="265" t="s">
        <v>147</v>
      </c>
      <c r="I4" s="265" t="s">
        <v>148</v>
      </c>
      <c r="J4" s="265" t="s">
        <v>149</v>
      </c>
      <c r="K4" s="265" t="s">
        <v>150</v>
      </c>
      <c r="L4" s="266" t="s">
        <v>151</v>
      </c>
      <c r="M4" s="266" t="s">
        <v>152</v>
      </c>
      <c r="N4" s="266" t="s">
        <v>153</v>
      </c>
      <c r="O4" s="266" t="s">
        <v>154</v>
      </c>
      <c r="P4" s="266" t="s">
        <v>155</v>
      </c>
      <c r="Q4" s="266" t="s">
        <v>156</v>
      </c>
      <c r="S4" s="260" t="s">
        <v>157</v>
      </c>
      <c r="T4" s="267">
        <v>0.2</v>
      </c>
      <c r="U4" s="268" t="s">
        <v>158</v>
      </c>
      <c r="V4" s="269" t="s">
        <v>159</v>
      </c>
    </row>
    <row r="5" spans="1:22" ht="24" customHeight="1" x14ac:dyDescent="0.25">
      <c r="A5" s="270" t="s">
        <v>160</v>
      </c>
      <c r="B5" s="271" t="s">
        <v>161</v>
      </c>
      <c r="C5" s="272" t="s">
        <v>162</v>
      </c>
      <c r="D5" s="273">
        <v>81.595638721084427</v>
      </c>
      <c r="E5" s="273">
        <v>75.101800771759315</v>
      </c>
      <c r="F5" s="273">
        <v>70.005182072829101</v>
      </c>
      <c r="G5" s="273">
        <v>75.713497081712063</v>
      </c>
      <c r="H5" s="273">
        <v>73.616929184274568</v>
      </c>
      <c r="I5" s="273">
        <v>69.335507641921396</v>
      </c>
      <c r="J5" s="273">
        <v>70.440708900939043</v>
      </c>
      <c r="K5" s="273">
        <v>74.885308870116148</v>
      </c>
      <c r="L5" s="273">
        <v>78.348719746421864</v>
      </c>
      <c r="M5" s="273">
        <v>72.859339577270589</v>
      </c>
      <c r="N5" s="273">
        <v>71.476218413097982</v>
      </c>
      <c r="O5" s="273">
        <v>72.663008885527603</v>
      </c>
      <c r="P5" s="273">
        <v>73.914614719781781</v>
      </c>
      <c r="Q5" s="273">
        <v>73.759028591377231</v>
      </c>
      <c r="S5" s="260">
        <v>65.8</v>
      </c>
      <c r="U5" s="274">
        <v>78.959999999999994</v>
      </c>
      <c r="V5" s="274">
        <v>52.64</v>
      </c>
    </row>
    <row r="6" spans="1:22" ht="24" customHeight="1" x14ac:dyDescent="0.25">
      <c r="A6" s="270" t="s">
        <v>163</v>
      </c>
      <c r="B6" s="271" t="s">
        <v>164</v>
      </c>
      <c r="C6" s="272" t="s">
        <v>162</v>
      </c>
      <c r="D6" s="275">
        <v>1.2483615735965814</v>
      </c>
      <c r="E6" s="275">
        <v>0.77106902958410728</v>
      </c>
      <c r="F6" s="275">
        <v>0.70738235294117624</v>
      </c>
      <c r="G6" s="275">
        <v>0.84133754863813237</v>
      </c>
      <c r="H6" s="275">
        <v>1.5539877064925087</v>
      </c>
      <c r="I6" s="275">
        <v>1.0692480895196506</v>
      </c>
      <c r="J6" s="275">
        <v>0.91523872503637083</v>
      </c>
      <c r="K6" s="275">
        <v>1.0020855332629357</v>
      </c>
      <c r="L6" s="275">
        <v>1.0097153015903444</v>
      </c>
      <c r="M6" s="275">
        <v>0.77435995078965436</v>
      </c>
      <c r="N6" s="275">
        <v>1.3116178980060798</v>
      </c>
      <c r="O6" s="275">
        <v>0.95866212914965332</v>
      </c>
      <c r="P6" s="275">
        <v>1.1062425895166592</v>
      </c>
      <c r="Q6" s="275">
        <v>0.92093505025120648</v>
      </c>
      <c r="U6" s="274"/>
      <c r="V6" s="274"/>
    </row>
    <row r="7" spans="1:22" ht="24" customHeight="1" x14ac:dyDescent="0.25">
      <c r="A7" s="270" t="s">
        <v>165</v>
      </c>
      <c r="B7" s="271" t="s">
        <v>166</v>
      </c>
      <c r="C7" s="272" t="s">
        <v>167</v>
      </c>
      <c r="D7" s="276">
        <v>1571.4162221894796</v>
      </c>
      <c r="E7" s="276">
        <v>866.70507360297245</v>
      </c>
      <c r="F7" s="276">
        <v>776.73661064425744</v>
      </c>
      <c r="G7" s="276">
        <v>945.7616245136187</v>
      </c>
      <c r="H7" s="276">
        <v>2030.0343449865547</v>
      </c>
      <c r="I7" s="276">
        <v>1272.9849890829692</v>
      </c>
      <c r="J7" s="276">
        <v>1000.0363708504166</v>
      </c>
      <c r="K7" s="276">
        <v>1059.0706441393877</v>
      </c>
      <c r="L7" s="276">
        <v>1219.0606478962261</v>
      </c>
      <c r="M7" s="276">
        <v>861.24911757893801</v>
      </c>
      <c r="N7" s="276">
        <v>1651.5096670347621</v>
      </c>
      <c r="O7" s="276">
        <v>1029.5535074949021</v>
      </c>
      <c r="P7" s="276">
        <v>1344.5558871676772</v>
      </c>
      <c r="Q7" s="276">
        <v>1036.130582834737</v>
      </c>
      <c r="U7" s="274"/>
      <c r="V7" s="274"/>
    </row>
    <row r="8" spans="1:22" ht="24" customHeight="1" x14ac:dyDescent="0.25">
      <c r="A8" s="270" t="s">
        <v>168</v>
      </c>
      <c r="B8" s="271" t="s">
        <v>166</v>
      </c>
      <c r="C8" s="272" t="s">
        <v>167</v>
      </c>
      <c r="D8" s="276">
        <v>3029.9865330779426</v>
      </c>
      <c r="E8" s="276">
        <v>2044.9732456767183</v>
      </c>
      <c r="F8" s="276">
        <v>2026.8187675070021</v>
      </c>
      <c r="G8" s="276">
        <v>2159.73362110895</v>
      </c>
      <c r="H8" s="276">
        <v>3472.1656422077085</v>
      </c>
      <c r="I8" s="276">
        <v>2567.7644923580788</v>
      </c>
      <c r="J8" s="276">
        <v>2308.1258828197329</v>
      </c>
      <c r="K8" s="276">
        <v>2284.0885955649424</v>
      </c>
      <c r="L8" s="276">
        <v>2537.4798893773304</v>
      </c>
      <c r="M8" s="276">
        <v>2093.2761943079759</v>
      </c>
      <c r="N8" s="276">
        <v>3019.9650672828939</v>
      </c>
      <c r="O8" s="276">
        <v>2296.1072391923376</v>
      </c>
      <c r="P8" s="276">
        <v>2709.2742064030967</v>
      </c>
      <c r="Q8" s="276">
        <v>2264.1399886771724</v>
      </c>
      <c r="U8" s="274"/>
      <c r="V8" s="274"/>
    </row>
    <row r="9" spans="1:22" ht="24" customHeight="1" x14ac:dyDescent="0.25">
      <c r="A9" s="270" t="s">
        <v>169</v>
      </c>
      <c r="B9" s="271" t="s">
        <v>170</v>
      </c>
      <c r="C9" s="272" t="s">
        <v>162</v>
      </c>
      <c r="D9" s="273">
        <v>42.41333431560335</v>
      </c>
      <c r="E9" s="273">
        <v>39.832213805916808</v>
      </c>
      <c r="F9" s="273">
        <v>35.782843137254886</v>
      </c>
      <c r="G9" s="273">
        <v>39.373334143968883</v>
      </c>
      <c r="H9" s="273">
        <v>36.71872198745038</v>
      </c>
      <c r="I9" s="273">
        <v>35.544937227074243</v>
      </c>
      <c r="J9" s="273">
        <v>38.064991403253536</v>
      </c>
      <c r="K9" s="273">
        <v>39.649168426610359</v>
      </c>
      <c r="L9" s="273">
        <v>41.122774060760079</v>
      </c>
      <c r="M9" s="273">
        <v>37.578088640611881</v>
      </c>
      <c r="N9" s="273">
        <v>36.131829607262311</v>
      </c>
      <c r="O9" s="273">
        <v>38.857079914931944</v>
      </c>
      <c r="P9" s="273">
        <v>38.244972710890536</v>
      </c>
      <c r="Q9" s="273">
        <v>38.599913400892575</v>
      </c>
      <c r="S9" s="260">
        <v>34.9</v>
      </c>
      <c r="T9" s="260">
        <f t="shared" ref="T9:T11" si="0">(20/100)*S9</f>
        <v>6.98</v>
      </c>
      <c r="U9" s="274">
        <f t="shared" ref="U9:U11" si="1">T9+S9</f>
        <v>41.879999999999995</v>
      </c>
      <c r="V9" s="274">
        <f t="shared" ref="V9:V11" si="2">S9-T9</f>
        <v>27.919999999999998</v>
      </c>
    </row>
    <row r="10" spans="1:22" ht="24" customHeight="1" x14ac:dyDescent="0.25">
      <c r="A10" s="270" t="s">
        <v>171</v>
      </c>
      <c r="B10" s="271" t="s">
        <v>172</v>
      </c>
      <c r="C10" s="272" t="s">
        <v>162</v>
      </c>
      <c r="D10" s="275">
        <v>1.1895830263739502</v>
      </c>
      <c r="E10" s="275">
        <v>0.73805630984707726</v>
      </c>
      <c r="F10" s="275">
        <v>0.68404061624649837</v>
      </c>
      <c r="G10" s="275">
        <v>0.80777845330739317</v>
      </c>
      <c r="H10" s="275">
        <v>1.4801114099116406</v>
      </c>
      <c r="I10" s="275">
        <v>1.0238441593886463</v>
      </c>
      <c r="J10" s="275">
        <v>0.8809959000132257</v>
      </c>
      <c r="K10" s="275">
        <v>0.96302534318901789</v>
      </c>
      <c r="L10" s="275">
        <v>0.96381966811051378</v>
      </c>
      <c r="M10" s="275">
        <v>0.74590953477694577</v>
      </c>
      <c r="N10" s="275">
        <v>1.2519777846501434</v>
      </c>
      <c r="O10" s="275">
        <v>0.92201062160112179</v>
      </c>
      <c r="P10" s="275">
        <v>1.0586827381363286</v>
      </c>
      <c r="Q10" s="275">
        <v>0.8831760664330337</v>
      </c>
      <c r="S10" s="260">
        <v>0.71</v>
      </c>
      <c r="T10" s="260">
        <f t="shared" si="0"/>
        <v>0.14199999999999999</v>
      </c>
      <c r="U10" s="274">
        <f t="shared" si="1"/>
        <v>0.85199999999999998</v>
      </c>
      <c r="V10" s="274">
        <f t="shared" si="2"/>
        <v>0.56799999999999995</v>
      </c>
    </row>
    <row r="11" spans="1:22" ht="24" customHeight="1" x14ac:dyDescent="0.25">
      <c r="A11" s="270" t="s">
        <v>173</v>
      </c>
      <c r="B11" s="271" t="s">
        <v>172</v>
      </c>
      <c r="C11" s="277" t="s">
        <v>174</v>
      </c>
      <c r="D11" s="273">
        <v>35.653950481192012</v>
      </c>
      <c r="E11" s="273">
        <v>53.96907156605694</v>
      </c>
      <c r="F11" s="273">
        <v>52.310991902212301</v>
      </c>
      <c r="G11" s="273">
        <v>48.742738782840121</v>
      </c>
      <c r="H11" s="273">
        <v>24.808079811804443</v>
      </c>
      <c r="I11" s="273">
        <v>34.717136295721701</v>
      </c>
      <c r="J11" s="273">
        <v>43.206774745128889</v>
      </c>
      <c r="K11" s="273">
        <v>41.171469377237578</v>
      </c>
      <c r="L11" s="273">
        <v>44.811511023624476</v>
      </c>
      <c r="M11" s="273">
        <v>50.526865342526207</v>
      </c>
      <c r="N11" s="273">
        <v>29.762608053763074</v>
      </c>
      <c r="O11" s="273">
        <v>42.189122061183234</v>
      </c>
      <c r="P11" s="273">
        <v>38.994949235084412</v>
      </c>
      <c r="Q11" s="273">
        <v>44.65010400546408</v>
      </c>
      <c r="S11" s="260">
        <v>49.2</v>
      </c>
      <c r="T11" s="260">
        <f t="shared" si="0"/>
        <v>9.8400000000000016</v>
      </c>
      <c r="U11" s="274">
        <f t="shared" si="1"/>
        <v>59.040000000000006</v>
      </c>
      <c r="V11" s="274">
        <f t="shared" si="2"/>
        <v>39.36</v>
      </c>
    </row>
    <row r="12" spans="1:22" ht="24" customHeight="1" x14ac:dyDescent="0.25">
      <c r="A12" s="270" t="s">
        <v>175</v>
      </c>
      <c r="B12" s="568" t="s">
        <v>176</v>
      </c>
      <c r="C12" s="272" t="s">
        <v>167</v>
      </c>
      <c r="D12" s="276">
        <v>1003.115514955061</v>
      </c>
      <c r="E12" s="276">
        <v>707.79619837073017</v>
      </c>
      <c r="F12" s="276">
        <v>745.72731092436959</v>
      </c>
      <c r="G12" s="276">
        <v>807.29790856031138</v>
      </c>
      <c r="H12" s="276">
        <v>1174.8271225509029</v>
      </c>
      <c r="I12" s="276">
        <v>932.79571506550201</v>
      </c>
      <c r="J12" s="276">
        <v>839.61658510778989</v>
      </c>
      <c r="K12" s="276">
        <v>911.61127243928217</v>
      </c>
      <c r="L12" s="276">
        <v>855.4558566628956</v>
      </c>
      <c r="M12" s="276">
        <v>776.51260974234049</v>
      </c>
      <c r="N12" s="276">
        <v>1053.8114188082025</v>
      </c>
      <c r="O12" s="276">
        <v>875.61392877353603</v>
      </c>
      <c r="P12" s="276">
        <v>940.82163338453086</v>
      </c>
      <c r="Q12" s="276">
        <v>839.87527360895638</v>
      </c>
      <c r="S12" s="260">
        <v>1700</v>
      </c>
      <c r="U12" s="274">
        <f>S12-((50/100)*S12)</f>
        <v>850</v>
      </c>
      <c r="V12" s="274">
        <f>S12+((200/100)*S12)</f>
        <v>5100</v>
      </c>
    </row>
    <row r="13" spans="1:22" ht="24" customHeight="1" x14ac:dyDescent="0.25">
      <c r="A13" s="270" t="s">
        <v>177</v>
      </c>
      <c r="B13" s="569"/>
      <c r="C13" s="272" t="s">
        <v>167</v>
      </c>
      <c r="D13" s="276">
        <v>5254.991896272285</v>
      </c>
      <c r="E13" s="276">
        <v>4035.2522509646983</v>
      </c>
      <c r="F13" s="276">
        <v>3552.8767507002799</v>
      </c>
      <c r="G13" s="276">
        <v>4009.1190418287947</v>
      </c>
      <c r="H13" s="276">
        <v>5484.7258291714688</v>
      </c>
      <c r="I13" s="276">
        <v>4207.3018558951962</v>
      </c>
      <c r="J13" s="276">
        <v>4216.3365956884008</v>
      </c>
      <c r="K13" s="276">
        <v>4163.4775607180582</v>
      </c>
      <c r="L13" s="276">
        <v>4645.1220736184914</v>
      </c>
      <c r="M13" s="276">
        <v>3780.9978962645373</v>
      </c>
      <c r="N13" s="276">
        <v>4846.0138425333325</v>
      </c>
      <c r="O13" s="276">
        <v>4189.9070782032295</v>
      </c>
      <c r="P13" s="276">
        <v>4627.2327679581085</v>
      </c>
      <c r="Q13" s="276">
        <v>4103.7876773516873</v>
      </c>
      <c r="S13" s="260">
        <v>2878</v>
      </c>
      <c r="U13" s="274">
        <f t="shared" ref="U13:U14" si="3">S13-((50/100)*S13)</f>
        <v>1439</v>
      </c>
      <c r="V13" s="274">
        <f>S13+((200/100)*S13)</f>
        <v>8634</v>
      </c>
    </row>
    <row r="14" spans="1:22" ht="24" customHeight="1" x14ac:dyDescent="0.25">
      <c r="A14" s="270" t="s">
        <v>178</v>
      </c>
      <c r="B14" s="570"/>
      <c r="C14" s="272" t="s">
        <v>167</v>
      </c>
      <c r="D14" s="273">
        <v>92.281273021953723</v>
      </c>
      <c r="E14" s="273">
        <v>102.62726882949835</v>
      </c>
      <c r="F14" s="273">
        <v>56.572829131652647</v>
      </c>
      <c r="G14" s="273">
        <v>116.94978112840468</v>
      </c>
      <c r="H14" s="273">
        <v>102.6224868741196</v>
      </c>
      <c r="I14" s="273">
        <v>131.00423034934494</v>
      </c>
      <c r="J14" s="273">
        <v>115.79843935987302</v>
      </c>
      <c r="K14" s="273">
        <v>137.62328405491024</v>
      </c>
      <c r="L14" s="273">
        <v>97.454270925726036</v>
      </c>
      <c r="M14" s="273">
        <v>86.76130513002866</v>
      </c>
      <c r="N14" s="273">
        <v>116.81335861173227</v>
      </c>
      <c r="O14" s="273">
        <v>126.71086170739163</v>
      </c>
      <c r="P14" s="273">
        <v>91.818757096899745</v>
      </c>
      <c r="Q14" s="273">
        <v>122.05114109053956</v>
      </c>
      <c r="S14" s="260">
        <v>100</v>
      </c>
      <c r="U14" s="274">
        <f t="shared" si="3"/>
        <v>50</v>
      </c>
      <c r="V14" s="274">
        <f t="shared" ref="V14" si="4">S14+((200/100)*S14)</f>
        <v>300</v>
      </c>
    </row>
    <row r="15" spans="1:22" ht="24" customHeight="1" x14ac:dyDescent="0.25">
      <c r="A15" s="270" t="s">
        <v>179</v>
      </c>
      <c r="B15" s="271" t="s">
        <v>166</v>
      </c>
      <c r="C15" s="272" t="s">
        <v>167</v>
      </c>
      <c r="D15" s="273">
        <v>7.8159717106232494</v>
      </c>
      <c r="E15" s="273">
        <v>5.8649707017293107</v>
      </c>
      <c r="F15" s="273">
        <v>7.8798739495798298</v>
      </c>
      <c r="G15" s="273">
        <v>6.6119528210116725</v>
      </c>
      <c r="H15" s="273">
        <v>9.5290946343962109</v>
      </c>
      <c r="I15" s="273">
        <v>13.875218340611351</v>
      </c>
      <c r="J15" s="273">
        <v>12.273984922629284</v>
      </c>
      <c r="K15" s="273">
        <v>7.8494456177402343</v>
      </c>
      <c r="L15" s="273">
        <v>6.8404712061762805</v>
      </c>
      <c r="M15" s="273">
        <v>7.2459133852957507</v>
      </c>
      <c r="N15" s="273">
        <v>11.702156487503782</v>
      </c>
      <c r="O15" s="273">
        <v>10.061715270184759</v>
      </c>
      <c r="P15" s="273">
        <v>9.3747313043071436</v>
      </c>
      <c r="Q15" s="273">
        <v>8.5503968702731417</v>
      </c>
    </row>
    <row r="16" spans="1:22" ht="24" customHeight="1" x14ac:dyDescent="0.25">
      <c r="A16" s="270" t="s">
        <v>180</v>
      </c>
      <c r="B16" s="271" t="s">
        <v>166</v>
      </c>
      <c r="C16" s="272" t="s">
        <v>167</v>
      </c>
      <c r="D16" s="276">
        <v>54.819787829674382</v>
      </c>
      <c r="E16" s="276">
        <v>56.981592110904671</v>
      </c>
      <c r="F16" s="276">
        <v>34.344915966386552</v>
      </c>
      <c r="G16" s="276">
        <v>67.171048151750966</v>
      </c>
      <c r="H16" s="276">
        <v>57.714483288513243</v>
      </c>
      <c r="I16" s="276">
        <v>73.982082423580778</v>
      </c>
      <c r="J16" s="276">
        <v>66.920645417272837</v>
      </c>
      <c r="K16" s="276">
        <v>75.326399155227023</v>
      </c>
      <c r="L16" s="276">
        <v>55.900689970289527</v>
      </c>
      <c r="M16" s="276">
        <v>50.757982059068759</v>
      </c>
      <c r="N16" s="276">
        <v>65.848282856047007</v>
      </c>
      <c r="O16" s="276">
        <v>71.123522286249937</v>
      </c>
      <c r="P16" s="276">
        <v>53.449958125461748</v>
      </c>
      <c r="Q16" s="276">
        <v>68.365280460365852</v>
      </c>
      <c r="S16" s="260">
        <v>56.3</v>
      </c>
      <c r="U16" s="274">
        <f>S16/2</f>
        <v>28.15</v>
      </c>
      <c r="V16" s="260">
        <f>S16*2</f>
        <v>112.6</v>
      </c>
    </row>
    <row r="17" spans="1:22" ht="24" customHeight="1" x14ac:dyDescent="0.25">
      <c r="A17" s="270" t="s">
        <v>181</v>
      </c>
      <c r="B17" s="271" t="s">
        <v>166</v>
      </c>
      <c r="C17" s="272" t="s">
        <v>167</v>
      </c>
      <c r="D17" s="275">
        <v>6.5890673346102838E-2</v>
      </c>
      <c r="E17" s="275">
        <v>5.0050021437759037E-2</v>
      </c>
      <c r="F17" s="275">
        <v>7.7275910364145634E-2</v>
      </c>
      <c r="G17" s="275">
        <v>5.000000000000001E-2</v>
      </c>
      <c r="H17" s="275">
        <v>9.7029069022922271E-2</v>
      </c>
      <c r="I17" s="275">
        <v>0.18931495633187767</v>
      </c>
      <c r="J17" s="275">
        <v>0.15032403121280255</v>
      </c>
      <c r="K17" s="275">
        <v>5.5141235480464637E-2</v>
      </c>
      <c r="L17" s="275">
        <v>5.7970347391930938E-2</v>
      </c>
      <c r="M17" s="275">
        <v>6.3637955182072825E-2</v>
      </c>
      <c r="N17" s="275">
        <v>0.14317201267739998</v>
      </c>
      <c r="O17" s="275">
        <v>0.1027326333466336</v>
      </c>
      <c r="P17" s="275">
        <v>9.7629920986493327E-2</v>
      </c>
      <c r="Q17" s="275">
        <v>8.6126553312525334E-2</v>
      </c>
      <c r="R17" s="278"/>
      <c r="S17" s="260">
        <v>1.29</v>
      </c>
      <c r="U17" s="274">
        <f t="shared" ref="U17:U23" si="5">S17/2</f>
        <v>0.64500000000000002</v>
      </c>
      <c r="V17" s="260">
        <f t="shared" ref="V17:V23" si="6">S17*2</f>
        <v>2.58</v>
      </c>
    </row>
    <row r="18" spans="1:22" ht="24" customHeight="1" x14ac:dyDescent="0.25">
      <c r="A18" s="270" t="s">
        <v>182</v>
      </c>
      <c r="B18" s="271" t="s">
        <v>166</v>
      </c>
      <c r="C18" s="272" t="s">
        <v>167</v>
      </c>
      <c r="D18" s="273">
        <v>20.49702372182113</v>
      </c>
      <c r="E18" s="273">
        <v>18.091582106617118</v>
      </c>
      <c r="F18" s="273">
        <v>11.346848739495796</v>
      </c>
      <c r="G18" s="273">
        <v>25.270269941634243</v>
      </c>
      <c r="H18" s="273">
        <v>29.968113714944295</v>
      </c>
      <c r="I18" s="273">
        <v>37.658679039301298</v>
      </c>
      <c r="J18" s="273">
        <v>30.278177489750036</v>
      </c>
      <c r="K18" s="273">
        <v>47.463727560718063</v>
      </c>
      <c r="L18" s="273">
        <v>19.294302914219124</v>
      </c>
      <c r="M18" s="273">
        <v>18.308559340565019</v>
      </c>
      <c r="N18" s="273">
        <v>33.8133963771228</v>
      </c>
      <c r="O18" s="273">
        <v>38.870952525234046</v>
      </c>
      <c r="P18" s="273">
        <v>23.022540916502813</v>
      </c>
      <c r="Q18" s="273">
        <v>32.121064662067681</v>
      </c>
      <c r="S18" s="260">
        <v>87</v>
      </c>
      <c r="U18" s="274">
        <f t="shared" si="5"/>
        <v>43.5</v>
      </c>
      <c r="V18" s="260">
        <f t="shared" si="6"/>
        <v>174</v>
      </c>
    </row>
    <row r="19" spans="1:22" ht="24" customHeight="1" x14ac:dyDescent="0.25">
      <c r="A19" s="270" t="s">
        <v>183</v>
      </c>
      <c r="B19" s="271" t="s">
        <v>166</v>
      </c>
      <c r="C19" s="272" t="s">
        <v>167</v>
      </c>
      <c r="D19" s="273">
        <v>7.2155149550611464</v>
      </c>
      <c r="E19" s="273">
        <v>8.3877804773474338</v>
      </c>
      <c r="F19" s="273">
        <v>4.8962044817927151</v>
      </c>
      <c r="G19" s="273">
        <v>8.8411357003891062</v>
      </c>
      <c r="H19" s="273">
        <v>7.8639646561659626</v>
      </c>
      <c r="I19" s="273">
        <v>9.7149563318777297</v>
      </c>
      <c r="J19" s="273">
        <v>9.2510382224573444</v>
      </c>
      <c r="K19" s="273">
        <v>10.125527983104542</v>
      </c>
      <c r="L19" s="273">
        <v>7.8016477162042897</v>
      </c>
      <c r="M19" s="273">
        <v>6.8686700910909106</v>
      </c>
      <c r="N19" s="273">
        <v>8.7894604940218457</v>
      </c>
      <c r="O19" s="273">
        <v>9.6882831027809431</v>
      </c>
      <c r="P19" s="273">
        <v>7.3066805788692921</v>
      </c>
      <c r="Q19" s="273">
        <v>9.2673501231797033</v>
      </c>
      <c r="S19" s="260">
        <v>20</v>
      </c>
      <c r="U19" s="274">
        <f t="shared" si="5"/>
        <v>10</v>
      </c>
      <c r="V19" s="260">
        <f t="shared" si="6"/>
        <v>40</v>
      </c>
    </row>
    <row r="20" spans="1:22" ht="24" customHeight="1" x14ac:dyDescent="0.25">
      <c r="A20" s="270" t="s">
        <v>184</v>
      </c>
      <c r="B20" s="271" t="s">
        <v>166</v>
      </c>
      <c r="C20" s="272" t="s">
        <v>167</v>
      </c>
      <c r="D20" s="273">
        <v>85.207190216590533</v>
      </c>
      <c r="E20" s="273">
        <v>62.099471201943686</v>
      </c>
      <c r="F20" s="273">
        <v>61.822128851540597</v>
      </c>
      <c r="G20" s="273">
        <v>69.570063229572</v>
      </c>
      <c r="H20" s="273">
        <v>93.369215008323749</v>
      </c>
      <c r="I20" s="273">
        <v>93.434074781659376</v>
      </c>
      <c r="J20" s="273">
        <v>91.64513953180797</v>
      </c>
      <c r="K20" s="273">
        <v>87.854817845828933</v>
      </c>
      <c r="L20" s="273">
        <v>73.653330709267109</v>
      </c>
      <c r="M20" s="273">
        <v>65.696096040556299</v>
      </c>
      <c r="N20" s="273">
        <v>93.401644894991563</v>
      </c>
      <c r="O20" s="273">
        <v>89.749978688818459</v>
      </c>
      <c r="P20" s="273">
        <v>83.010918402065712</v>
      </c>
      <c r="Q20" s="273">
        <v>78.239606764750988</v>
      </c>
      <c r="S20" s="260">
        <v>301</v>
      </c>
      <c r="U20" s="274">
        <f t="shared" si="5"/>
        <v>150.5</v>
      </c>
      <c r="V20" s="260">
        <f t="shared" si="6"/>
        <v>602</v>
      </c>
    </row>
    <row r="21" spans="1:22" ht="24" customHeight="1" x14ac:dyDescent="0.25">
      <c r="A21" s="270" t="s">
        <v>185</v>
      </c>
      <c r="B21" s="271" t="s">
        <v>186</v>
      </c>
      <c r="C21" s="272" t="s">
        <v>167</v>
      </c>
      <c r="D21" s="275">
        <v>9.9204361278915576E-2</v>
      </c>
      <c r="E21" s="275">
        <v>9.9999999999999978E-2</v>
      </c>
      <c r="F21" s="275">
        <v>9.9831932773109214E-2</v>
      </c>
      <c r="G21" s="275">
        <v>9.8832684824902747E-2</v>
      </c>
      <c r="H21" s="275">
        <v>9.9859136893328218E-2</v>
      </c>
      <c r="I21" s="275">
        <v>9.9072052401746699E-2</v>
      </c>
      <c r="J21" s="275">
        <v>9.9603227086364224E-2</v>
      </c>
      <c r="K21" s="275">
        <v>9.7663674762407615E-2</v>
      </c>
      <c r="L21" s="275">
        <v>9.9602180639457777E-2</v>
      </c>
      <c r="M21" s="275">
        <v>9.9332308799005981E-2</v>
      </c>
      <c r="N21" s="275">
        <v>9.9465594647537459E-2</v>
      </c>
      <c r="O21" s="275">
        <v>9.8633450924385913E-2</v>
      </c>
      <c r="P21" s="275">
        <v>9.9624664507929298E-2</v>
      </c>
      <c r="Q21" s="275">
        <v>9.8892102997264267E-2</v>
      </c>
      <c r="S21" s="260">
        <v>0.1</v>
      </c>
      <c r="U21" s="274">
        <f t="shared" si="5"/>
        <v>0.05</v>
      </c>
      <c r="V21" s="260">
        <f t="shared" si="6"/>
        <v>0.2</v>
      </c>
    </row>
    <row r="22" spans="1:22" ht="24" customHeight="1" x14ac:dyDescent="0.25">
      <c r="A22" s="270" t="s">
        <v>187</v>
      </c>
      <c r="B22" s="271" t="s">
        <v>166</v>
      </c>
      <c r="C22" s="272" t="s">
        <v>167</v>
      </c>
      <c r="D22" s="273">
        <v>0.83715927508472088</v>
      </c>
      <c r="E22" s="273">
        <v>0.7586680005716735</v>
      </c>
      <c r="F22" s="273">
        <v>0.67359243697478977</v>
      </c>
      <c r="G22" s="273">
        <v>0.94916099221789896</v>
      </c>
      <c r="H22" s="273">
        <v>0.99651043667563077</v>
      </c>
      <c r="I22" s="273">
        <v>1.0814683406113539</v>
      </c>
      <c r="J22" s="273">
        <v>0.9324758629810872</v>
      </c>
      <c r="K22" s="273">
        <v>0.96800422386483642</v>
      </c>
      <c r="L22" s="273">
        <v>0.79791363782819724</v>
      </c>
      <c r="M22" s="273">
        <v>0.81137671459634442</v>
      </c>
      <c r="N22" s="273">
        <v>1.0389893886434924</v>
      </c>
      <c r="O22" s="273">
        <v>0.95024004342296187</v>
      </c>
      <c r="P22" s="273">
        <v>0.85993450292905715</v>
      </c>
      <c r="Q22" s="273">
        <v>0.93932538931644072</v>
      </c>
      <c r="S22" s="260">
        <v>2.25</v>
      </c>
      <c r="U22" s="274">
        <f t="shared" si="5"/>
        <v>1.125</v>
      </c>
      <c r="V22" s="260">
        <f t="shared" si="6"/>
        <v>4.5</v>
      </c>
    </row>
    <row r="23" spans="1:22" ht="24" customHeight="1" x14ac:dyDescent="0.25">
      <c r="A23" s="270" t="s">
        <v>188</v>
      </c>
      <c r="B23" s="271" t="s">
        <v>166</v>
      </c>
      <c r="C23" s="272" t="s">
        <v>167</v>
      </c>
      <c r="D23" s="275">
        <v>0.50307204950640927</v>
      </c>
      <c r="E23" s="275">
        <v>0.34501929398313563</v>
      </c>
      <c r="F23" s="275">
        <v>0.33098039215686265</v>
      </c>
      <c r="G23" s="275">
        <v>0.39567728599221802</v>
      </c>
      <c r="H23" s="275">
        <v>0.61365091561019336</v>
      </c>
      <c r="I23" s="275">
        <v>0.43727483624454139</v>
      </c>
      <c r="J23" s="275">
        <v>0.34040470837190845</v>
      </c>
      <c r="K23" s="275">
        <v>0.39318901795142558</v>
      </c>
      <c r="L23" s="275">
        <v>0.42404567174477248</v>
      </c>
      <c r="M23" s="275">
        <v>0.36332883907454033</v>
      </c>
      <c r="N23" s="275">
        <v>0.5254628759273674</v>
      </c>
      <c r="O23" s="275">
        <v>0.36679686316166704</v>
      </c>
      <c r="P23" s="275">
        <v>0.4470270164113434</v>
      </c>
      <c r="Q23" s="275">
        <v>0.39279010854283014</v>
      </c>
      <c r="R23" s="279"/>
      <c r="S23" s="280">
        <v>0.22</v>
      </c>
      <c r="U23" s="274">
        <f t="shared" si="5"/>
        <v>0.11</v>
      </c>
      <c r="V23" s="260">
        <f t="shared" si="6"/>
        <v>0.44</v>
      </c>
    </row>
    <row r="24" spans="1:22" ht="24" customHeight="1" x14ac:dyDescent="0.25">
      <c r="A24" s="270" t="s">
        <v>189</v>
      </c>
      <c r="B24" s="281" t="s">
        <v>174</v>
      </c>
      <c r="C24" s="272" t="s">
        <v>162</v>
      </c>
      <c r="D24" s="273">
        <v>48.1</v>
      </c>
      <c r="E24" s="273">
        <v>45.4</v>
      </c>
      <c r="F24" s="273">
        <v>30.8</v>
      </c>
      <c r="G24" s="273">
        <v>33.9</v>
      </c>
      <c r="H24" s="273">
        <v>37.5</v>
      </c>
      <c r="I24" s="273">
        <v>41.8</v>
      </c>
      <c r="J24" s="273">
        <v>40.1</v>
      </c>
      <c r="K24" s="273">
        <v>40.1</v>
      </c>
      <c r="L24" s="273">
        <v>46.75</v>
      </c>
      <c r="M24" s="273">
        <v>32.35</v>
      </c>
      <c r="N24" s="273">
        <v>39.65</v>
      </c>
      <c r="O24" s="273">
        <v>40.1</v>
      </c>
      <c r="P24" s="273">
        <v>39.125</v>
      </c>
      <c r="Q24" s="273">
        <v>40.299999999999997</v>
      </c>
      <c r="R24" s="282"/>
      <c r="S24" s="283">
        <v>36.700000000000003</v>
      </c>
      <c r="U24" s="260">
        <f>S24-((20/100)*S24)</f>
        <v>29.360000000000003</v>
      </c>
      <c r="V24" s="260">
        <f>S24+((20/100)*S24)</f>
        <v>44.040000000000006</v>
      </c>
    </row>
    <row r="25" spans="1:22" ht="24" customHeight="1" x14ac:dyDescent="0.25">
      <c r="A25" s="270" t="s">
        <v>190</v>
      </c>
      <c r="B25" s="271" t="s">
        <v>191</v>
      </c>
      <c r="C25" s="272" t="s">
        <v>192</v>
      </c>
      <c r="D25" s="276">
        <v>5117.7763371150731</v>
      </c>
      <c r="E25" s="276">
        <v>4703.4836358439325</v>
      </c>
      <c r="F25" s="276">
        <v>4074.6063025210074</v>
      </c>
      <c r="G25" s="276">
        <v>4594.6900535019467</v>
      </c>
      <c r="H25" s="276">
        <v>4485.7401715968745</v>
      </c>
      <c r="I25" s="276">
        <v>4212.7823417030568</v>
      </c>
      <c r="J25" s="276">
        <v>4547.7075783626497</v>
      </c>
      <c r="K25" s="276">
        <v>4689.3311774023232</v>
      </c>
      <c r="L25" s="276">
        <v>4910.6299864795028</v>
      </c>
      <c r="M25" s="276">
        <v>4334.6481780114773</v>
      </c>
      <c r="N25" s="276">
        <v>4349.2612566499656</v>
      </c>
      <c r="O25" s="276">
        <v>4618.5193778824869</v>
      </c>
      <c r="P25" s="276">
        <v>4556.4575973989013</v>
      </c>
      <c r="Q25" s="276">
        <v>4550.071802112815</v>
      </c>
      <c r="S25" s="260">
        <v>4108</v>
      </c>
      <c r="U25" s="260">
        <f>S25-300</f>
        <v>3808</v>
      </c>
      <c r="V25" s="260">
        <f>S25+300</f>
        <v>4408</v>
      </c>
    </row>
    <row r="26" spans="1:22" ht="24" customHeight="1" x14ac:dyDescent="0.25">
      <c r="A26" s="270" t="s">
        <v>193</v>
      </c>
      <c r="B26" s="271" t="s">
        <v>164</v>
      </c>
      <c r="C26" s="272" t="s">
        <v>162</v>
      </c>
      <c r="D26" s="273">
        <v>48.202563724767927</v>
      </c>
      <c r="E26" s="273">
        <v>44.613205659568379</v>
      </c>
      <c r="F26" s="273">
        <v>40.102184873949561</v>
      </c>
      <c r="G26" s="273">
        <v>44.20151994163426</v>
      </c>
      <c r="H26" s="273">
        <v>42.361083365347675</v>
      </c>
      <c r="I26" s="273">
        <v>40.270646834061132</v>
      </c>
      <c r="J26" s="273">
        <v>42.972463959793679</v>
      </c>
      <c r="K26" s="273">
        <v>44.60517423442451</v>
      </c>
      <c r="L26" s="273">
        <v>46.407884692168153</v>
      </c>
      <c r="M26" s="273">
        <v>42.151852407791907</v>
      </c>
      <c r="N26" s="273">
        <v>41.315865099704403</v>
      </c>
      <c r="O26" s="273">
        <v>43.788819097109098</v>
      </c>
      <c r="P26" s="273">
        <v>43.409573980964709</v>
      </c>
      <c r="Q26" s="273">
        <v>43.422636667422069</v>
      </c>
    </row>
    <row r="27" spans="1:22" ht="24" customHeight="1" x14ac:dyDescent="0.25">
      <c r="A27" s="270" t="s">
        <v>194</v>
      </c>
      <c r="B27" s="271" t="s">
        <v>164</v>
      </c>
      <c r="C27" s="272" t="s">
        <v>162</v>
      </c>
      <c r="D27" s="275">
        <v>6.5576116104317075</v>
      </c>
      <c r="E27" s="275">
        <v>6.0455909675575237</v>
      </c>
      <c r="F27" s="275">
        <v>5.3155644257703072</v>
      </c>
      <c r="G27" s="275">
        <v>5.9152383268482502</v>
      </c>
      <c r="H27" s="275">
        <v>5.7577743629145859</v>
      </c>
      <c r="I27" s="275">
        <v>5.4220960698689948</v>
      </c>
      <c r="J27" s="275">
        <v>5.8148207909006739</v>
      </c>
      <c r="K27" s="275">
        <v>5.9727151531151019</v>
      </c>
      <c r="L27" s="275">
        <v>6.3016012889946156</v>
      </c>
      <c r="M27" s="275">
        <v>5.6154013763092792</v>
      </c>
      <c r="N27" s="275">
        <v>5.5899352163917904</v>
      </c>
      <c r="O27" s="275">
        <v>5.8937679720078879</v>
      </c>
      <c r="P27" s="275">
        <v>5.8614427975043188</v>
      </c>
      <c r="Q27" s="275">
        <v>5.8389101293474681</v>
      </c>
      <c r="S27" s="260">
        <v>5.2</v>
      </c>
      <c r="T27" s="260">
        <f t="shared" ref="T27" si="7">(20/100)*S27</f>
        <v>1.04</v>
      </c>
      <c r="U27" s="260">
        <f>S27-T27</f>
        <v>4.16</v>
      </c>
      <c r="V27" s="260">
        <f>S27+T27</f>
        <v>6.24</v>
      </c>
    </row>
    <row r="28" spans="1:22" ht="24" customHeight="1" x14ac:dyDescent="0.25">
      <c r="A28" s="270" t="s">
        <v>195</v>
      </c>
      <c r="B28" s="571" t="s">
        <v>191</v>
      </c>
      <c r="C28" s="272" t="s">
        <v>192</v>
      </c>
      <c r="D28" s="276">
        <v>4795.4701635479587</v>
      </c>
      <c r="E28" s="276">
        <v>4406.3895955409453</v>
      </c>
      <c r="F28" s="276">
        <v>3813.392016806722</v>
      </c>
      <c r="G28" s="276">
        <v>4303.9738570038908</v>
      </c>
      <c r="H28" s="276">
        <v>4202.7776924061982</v>
      </c>
      <c r="I28" s="276">
        <v>3946.2906659388632</v>
      </c>
      <c r="J28" s="276">
        <v>4261.918529295066</v>
      </c>
      <c r="K28" s="276">
        <v>4395.7766631467794</v>
      </c>
      <c r="L28" s="276">
        <v>4600.929879544452</v>
      </c>
      <c r="M28" s="276">
        <v>4058.6829369053066</v>
      </c>
      <c r="N28" s="276">
        <v>4074.5341791725305</v>
      </c>
      <c r="O28" s="276">
        <v>4328.8475962209232</v>
      </c>
      <c r="P28" s="276">
        <v>4268.3896005139868</v>
      </c>
      <c r="Q28" s="276">
        <v>4263.1076954076198</v>
      </c>
      <c r="S28" s="260">
        <v>3850</v>
      </c>
      <c r="U28" s="260">
        <f>S28-300</f>
        <v>3550</v>
      </c>
      <c r="V28" s="260">
        <f>S28+300</f>
        <v>4150</v>
      </c>
    </row>
    <row r="29" spans="1:22" ht="24" customHeight="1" x14ac:dyDescent="0.25">
      <c r="A29" s="270" t="s">
        <v>196</v>
      </c>
      <c r="B29" s="571"/>
      <c r="C29" s="272" t="s">
        <v>192</v>
      </c>
      <c r="D29" s="276">
        <v>2224.2990148813906</v>
      </c>
      <c r="E29" s="276">
        <v>2156.1887191653564</v>
      </c>
      <c r="F29" s="276">
        <v>2469.4672756302521</v>
      </c>
      <c r="G29" s="276">
        <v>2658.4767194795713</v>
      </c>
      <c r="H29" s="276">
        <v>2420.4860577538739</v>
      </c>
      <c r="I29" s="276">
        <v>2066.8411675764182</v>
      </c>
      <c r="J29" s="276">
        <v>2332.3391990477444</v>
      </c>
      <c r="K29" s="276">
        <v>2412.5202212249205</v>
      </c>
      <c r="L29" s="276">
        <v>2190.2438670233732</v>
      </c>
      <c r="M29" s="276">
        <v>2563.9719975549115</v>
      </c>
      <c r="N29" s="276">
        <v>2243.663612665146</v>
      </c>
      <c r="O29" s="276">
        <v>2372.4297101363327</v>
      </c>
      <c r="P29" s="276">
        <v>2361.6478868283152</v>
      </c>
      <c r="Q29" s="276">
        <v>2323.5067068615667</v>
      </c>
      <c r="S29" s="260">
        <v>2221</v>
      </c>
      <c r="U29" s="260">
        <f t="shared" ref="U29:U31" si="8">S29-300</f>
        <v>1921</v>
      </c>
      <c r="V29" s="260">
        <f t="shared" ref="V29:V31" si="9">S29+300</f>
        <v>2521</v>
      </c>
    </row>
    <row r="30" spans="1:22" ht="24" customHeight="1" x14ac:dyDescent="0.25">
      <c r="A30" s="270" t="s">
        <v>197</v>
      </c>
      <c r="B30" s="281" t="s">
        <v>172</v>
      </c>
      <c r="C30" s="277" t="s">
        <v>192</v>
      </c>
      <c r="D30" s="276">
        <v>4673.2767054663318</v>
      </c>
      <c r="E30" s="276">
        <v>4439.9342575389437</v>
      </c>
      <c r="F30" s="276">
        <v>3645.2298319327715</v>
      </c>
      <c r="G30" s="276">
        <v>4292.5638375486387</v>
      </c>
      <c r="H30" s="276">
        <v>3967.2719938532468</v>
      </c>
      <c r="I30" s="276">
        <v>3909.6546124454144</v>
      </c>
      <c r="J30" s="276">
        <v>4242.4289115196407</v>
      </c>
      <c r="K30" s="276">
        <v>4396.4040390707505</v>
      </c>
      <c r="L30" s="276">
        <v>4556.6054815026382</v>
      </c>
      <c r="M30" s="276">
        <v>3968.8968347407053</v>
      </c>
      <c r="N30" s="276">
        <v>3938.4633031493304</v>
      </c>
      <c r="O30" s="276">
        <v>4319.4164752951956</v>
      </c>
      <c r="P30" s="276">
        <v>4132.0518606929982</v>
      </c>
      <c r="Q30" s="276">
        <v>4259.6391866509366</v>
      </c>
      <c r="S30" s="260">
        <v>3850</v>
      </c>
      <c r="U30" s="260">
        <f t="shared" si="8"/>
        <v>3550</v>
      </c>
      <c r="V30" s="260">
        <f t="shared" si="9"/>
        <v>4150</v>
      </c>
    </row>
    <row r="31" spans="1:22" ht="24" customHeight="1" x14ac:dyDescent="0.25">
      <c r="A31" s="270" t="s">
        <v>198</v>
      </c>
      <c r="B31" s="281" t="s">
        <v>172</v>
      </c>
      <c r="C31" s="277" t="s">
        <v>192</v>
      </c>
      <c r="D31" s="276">
        <v>2160.880610137026</v>
      </c>
      <c r="E31" s="276">
        <v>2174.5041046162637</v>
      </c>
      <c r="F31" s="276">
        <v>2353.099043697478</v>
      </c>
      <c r="G31" s="276">
        <v>2650.9346966196499</v>
      </c>
      <c r="H31" s="276">
        <v>2273.2949961582794</v>
      </c>
      <c r="I31" s="276">
        <v>2045.5189844432311</v>
      </c>
      <c r="J31" s="276">
        <v>2320.6649180002646</v>
      </c>
      <c r="K31" s="276">
        <v>2412.8960194033798</v>
      </c>
      <c r="L31" s="276">
        <v>2167.6923573766448</v>
      </c>
      <c r="M31" s="276">
        <v>2502.016870158564</v>
      </c>
      <c r="N31" s="276">
        <v>2159.4069903007553</v>
      </c>
      <c r="O31" s="276">
        <v>2366.7804687018224</v>
      </c>
      <c r="P31" s="276">
        <v>2276.9848919982619</v>
      </c>
      <c r="Q31" s="276">
        <v>2320.9634512706316</v>
      </c>
      <c r="S31" s="260">
        <v>2221</v>
      </c>
      <c r="U31" s="260">
        <f t="shared" si="8"/>
        <v>1921</v>
      </c>
      <c r="V31" s="260">
        <f t="shared" si="9"/>
        <v>2521</v>
      </c>
    </row>
  </sheetData>
  <mergeCells count="8">
    <mergeCell ref="B12:B14"/>
    <mergeCell ref="B28:B29"/>
    <mergeCell ref="D1:G1"/>
    <mergeCell ref="H1:K1"/>
    <mergeCell ref="D2:G2"/>
    <mergeCell ref="H2:K2"/>
    <mergeCell ref="D3:G3"/>
    <mergeCell ref="H3:K3"/>
  </mergeCells>
  <conditionalFormatting sqref="D5">
    <cfRule type="expression" dxfId="210" priority="97">
      <formula>D5&lt;$V$5</formula>
    </cfRule>
    <cfRule type="expression" dxfId="209" priority="98">
      <formula>D5&gt;$U$5</formula>
    </cfRule>
  </conditionalFormatting>
  <conditionalFormatting sqref="E5:K5">
    <cfRule type="expression" dxfId="208" priority="95">
      <formula>E5&lt;$V$5</formula>
    </cfRule>
    <cfRule type="expression" dxfId="207" priority="96">
      <formula>E5&gt;$U$5</formula>
    </cfRule>
  </conditionalFormatting>
  <conditionalFormatting sqref="D9">
    <cfRule type="expression" dxfId="206" priority="93">
      <formula>D9&lt;$V$9</formula>
    </cfRule>
    <cfRule type="expression" dxfId="205" priority="94">
      <formula>D9&gt;$U$9</formula>
    </cfRule>
  </conditionalFormatting>
  <conditionalFormatting sqref="E9:K9">
    <cfRule type="expression" dxfId="204" priority="91">
      <formula>E9&lt;$V$9</formula>
    </cfRule>
    <cfRule type="expression" dxfId="203" priority="92">
      <formula>E9&gt;$U$9</formula>
    </cfRule>
  </conditionalFormatting>
  <conditionalFormatting sqref="D10">
    <cfRule type="expression" dxfId="202" priority="89">
      <formula>D10&lt;$V$10</formula>
    </cfRule>
    <cfRule type="expression" dxfId="201" priority="90">
      <formula>D10&gt;$U$10</formula>
    </cfRule>
  </conditionalFormatting>
  <conditionalFormatting sqref="E10:K10">
    <cfRule type="expression" dxfId="200" priority="87">
      <formula>E10&lt;$V$10</formula>
    </cfRule>
    <cfRule type="expression" dxfId="199" priority="88">
      <formula>E10&gt;$U$10</formula>
    </cfRule>
  </conditionalFormatting>
  <conditionalFormatting sqref="D11">
    <cfRule type="expression" dxfId="198" priority="85">
      <formula>D11&lt;$V$11</formula>
    </cfRule>
    <cfRule type="expression" dxfId="197" priority="86">
      <formula>D11&gt;$U$11</formula>
    </cfRule>
  </conditionalFormatting>
  <conditionalFormatting sqref="E11:K11">
    <cfRule type="expression" dxfId="196" priority="83">
      <formula>E11&lt;$V$11</formula>
    </cfRule>
    <cfRule type="expression" dxfId="195" priority="84">
      <formula>E11&gt;$U$11</formula>
    </cfRule>
  </conditionalFormatting>
  <conditionalFormatting sqref="D12:K12">
    <cfRule type="cellIs" dxfId="194" priority="81" operator="lessThan">
      <formula>$U$12</formula>
    </cfRule>
    <cfRule type="cellIs" dxfId="193" priority="82" operator="greaterThan">
      <formula>$V$12</formula>
    </cfRule>
  </conditionalFormatting>
  <conditionalFormatting sqref="D13:K13">
    <cfRule type="cellIs" dxfId="192" priority="79" operator="lessThan">
      <formula>$U$13</formula>
    </cfRule>
    <cfRule type="cellIs" dxfId="191" priority="80" operator="greaterThan">
      <formula>$V$13</formula>
    </cfRule>
  </conditionalFormatting>
  <conditionalFormatting sqref="D14:K14">
    <cfRule type="cellIs" dxfId="190" priority="77" operator="lessThan">
      <formula>$U$14</formula>
    </cfRule>
    <cfRule type="cellIs" dxfId="189" priority="78" operator="greaterThan">
      <formula>$V$14</formula>
    </cfRule>
  </conditionalFormatting>
  <conditionalFormatting sqref="D16:K16">
    <cfRule type="cellIs" dxfId="188" priority="75" operator="lessThan">
      <formula>$U$16</formula>
    </cfRule>
    <cfRule type="cellIs" dxfId="187" priority="76" operator="greaterThan">
      <formula>$V$16</formula>
    </cfRule>
  </conditionalFormatting>
  <conditionalFormatting sqref="D17:K17">
    <cfRule type="cellIs" dxfId="186" priority="73" operator="lessThan">
      <formula>$U$17</formula>
    </cfRule>
    <cfRule type="cellIs" dxfId="185" priority="74" operator="greaterThan">
      <formula>$V$17</formula>
    </cfRule>
  </conditionalFormatting>
  <conditionalFormatting sqref="D18:K18">
    <cfRule type="cellIs" dxfId="184" priority="71" operator="lessThan">
      <formula>$U$18</formula>
    </cfRule>
    <cfRule type="cellIs" dxfId="183" priority="72" operator="greaterThan">
      <formula>$V$18</formula>
    </cfRule>
  </conditionalFormatting>
  <conditionalFormatting sqref="D19:K19">
    <cfRule type="cellIs" dxfId="182" priority="69" operator="lessThan">
      <formula>$U$19</formula>
    </cfRule>
    <cfRule type="cellIs" dxfId="181" priority="70" operator="greaterThan">
      <formula>$V$19</formula>
    </cfRule>
  </conditionalFormatting>
  <conditionalFormatting sqref="D20:K20">
    <cfRule type="cellIs" dxfId="180" priority="67" operator="lessThan">
      <formula>$U$20</formula>
    </cfRule>
    <cfRule type="cellIs" dxfId="179" priority="68" operator="greaterThan">
      <formula>$V$20</formula>
    </cfRule>
  </conditionalFormatting>
  <conditionalFormatting sqref="D21:K21">
    <cfRule type="cellIs" dxfId="178" priority="65" operator="lessThan">
      <formula>$U$21</formula>
    </cfRule>
    <cfRule type="cellIs" dxfId="177" priority="66" operator="greaterThan">
      <formula>$V$21</formula>
    </cfRule>
  </conditionalFormatting>
  <conditionalFormatting sqref="D22:K22">
    <cfRule type="cellIs" dxfId="176" priority="63" operator="lessThan">
      <formula>$U$22</formula>
    </cfRule>
    <cfRule type="cellIs" dxfId="175" priority="64" operator="greaterThan">
      <formula>$V$22</formula>
    </cfRule>
  </conditionalFormatting>
  <conditionalFormatting sqref="D23:K23">
    <cfRule type="cellIs" dxfId="174" priority="61" operator="lessThan">
      <formula>$U$23</formula>
    </cfRule>
    <cfRule type="cellIs" dxfId="173" priority="62" operator="greaterThan">
      <formula>$V$23</formula>
    </cfRule>
  </conditionalFormatting>
  <conditionalFormatting sqref="D24:K24">
    <cfRule type="cellIs" dxfId="172" priority="59" operator="lessThan">
      <formula>$U$24</formula>
    </cfRule>
    <cfRule type="cellIs" dxfId="171" priority="60" operator="greaterThan">
      <formula>$V$24</formula>
    </cfRule>
  </conditionalFormatting>
  <conditionalFormatting sqref="D25:K25">
    <cfRule type="cellIs" dxfId="170" priority="57" operator="lessThan">
      <formula>$U$25</formula>
    </cfRule>
    <cfRule type="cellIs" dxfId="169" priority="58" operator="greaterThan">
      <formula>$V$25</formula>
    </cfRule>
  </conditionalFormatting>
  <conditionalFormatting sqref="D27:K27">
    <cfRule type="cellIs" dxfId="168" priority="55" operator="lessThan">
      <formula>$U$27</formula>
    </cfRule>
    <cfRule type="cellIs" dxfId="167" priority="56" operator="greaterThan">
      <formula>$V$27</formula>
    </cfRule>
  </conditionalFormatting>
  <conditionalFormatting sqref="D28">
    <cfRule type="cellIs" dxfId="166" priority="53" operator="lessThan">
      <formula>$U$28</formula>
    </cfRule>
    <cfRule type="cellIs" dxfId="165" priority="54" operator="greaterThan">
      <formula>$V$28</formula>
    </cfRule>
  </conditionalFormatting>
  <conditionalFormatting sqref="E28:K28">
    <cfRule type="cellIs" dxfId="164" priority="51" operator="lessThan">
      <formula>$U$28</formula>
    </cfRule>
    <cfRule type="cellIs" dxfId="163" priority="52" operator="greaterThan">
      <formula>$V$28</formula>
    </cfRule>
  </conditionalFormatting>
  <conditionalFormatting sqref="D29:K29">
    <cfRule type="cellIs" dxfId="162" priority="49" operator="lessThan">
      <formula>$U$29</formula>
    </cfRule>
    <cfRule type="cellIs" dxfId="161" priority="50" operator="greaterThan">
      <formula>$V$29</formula>
    </cfRule>
  </conditionalFormatting>
  <conditionalFormatting sqref="D30:K30">
    <cfRule type="cellIs" dxfId="160" priority="47" operator="lessThan">
      <formula>$U$30</formula>
    </cfRule>
    <cfRule type="cellIs" dxfId="159" priority="48" operator="greaterThan">
      <formula>$V$30</formula>
    </cfRule>
  </conditionalFormatting>
  <conditionalFormatting sqref="D31:K31">
    <cfRule type="cellIs" dxfId="158" priority="45" operator="lessThan">
      <formula>$U$31</formula>
    </cfRule>
    <cfRule type="cellIs" dxfId="157" priority="46" operator="greaterThan">
      <formula>$V$31</formula>
    </cfRule>
  </conditionalFormatting>
  <conditionalFormatting sqref="L5:Q5">
    <cfRule type="expression" dxfId="156" priority="43">
      <formula>L5&lt;$V$5</formula>
    </cfRule>
    <cfRule type="expression" dxfId="155" priority="44">
      <formula>L5&gt;$U$5</formula>
    </cfRule>
  </conditionalFormatting>
  <conditionalFormatting sqref="L9:Q9">
    <cfRule type="expression" dxfId="154" priority="41">
      <formula>L9&lt;$V$9</formula>
    </cfRule>
    <cfRule type="expression" dxfId="153" priority="42">
      <formula>L9&gt;$U$9</formula>
    </cfRule>
  </conditionalFormatting>
  <conditionalFormatting sqref="L10:Q10">
    <cfRule type="expression" dxfId="152" priority="39">
      <formula>L10&lt;$V$10</formula>
    </cfRule>
    <cfRule type="expression" dxfId="151" priority="40">
      <formula>L10&gt;$U$10</formula>
    </cfRule>
  </conditionalFormatting>
  <conditionalFormatting sqref="L11:Q11">
    <cfRule type="expression" dxfId="150" priority="37">
      <formula>L11&lt;$V$11</formula>
    </cfRule>
    <cfRule type="expression" dxfId="149" priority="38">
      <formula>L11&gt;$U$11</formula>
    </cfRule>
  </conditionalFormatting>
  <conditionalFormatting sqref="L12:Q12">
    <cfRule type="cellIs" dxfId="148" priority="35" operator="lessThan">
      <formula>$U$12</formula>
    </cfRule>
    <cfRule type="cellIs" dxfId="147" priority="36" operator="greaterThan">
      <formula>$V$12</formula>
    </cfRule>
  </conditionalFormatting>
  <conditionalFormatting sqref="L13:Q13">
    <cfRule type="cellIs" dxfId="146" priority="33" operator="lessThan">
      <formula>$U$13</formula>
    </cfRule>
    <cfRule type="cellIs" dxfId="145" priority="34" operator="greaterThan">
      <formula>$V$13</formula>
    </cfRule>
  </conditionalFormatting>
  <conditionalFormatting sqref="L14:Q14">
    <cfRule type="cellIs" dxfId="144" priority="31" operator="lessThan">
      <formula>$U$14</formula>
    </cfRule>
    <cfRule type="cellIs" dxfId="143" priority="32" operator="greaterThan">
      <formula>$V$14</formula>
    </cfRule>
  </conditionalFormatting>
  <conditionalFormatting sqref="L16:Q16">
    <cfRule type="cellIs" dxfId="142" priority="29" operator="lessThan">
      <formula>$U$16</formula>
    </cfRule>
    <cfRule type="cellIs" dxfId="141" priority="30" operator="greaterThan">
      <formula>$V$16</formula>
    </cfRule>
  </conditionalFormatting>
  <conditionalFormatting sqref="L17:Q17">
    <cfRule type="cellIs" dxfId="140" priority="27" operator="lessThan">
      <formula>$U$17</formula>
    </cfRule>
    <cfRule type="cellIs" dxfId="139" priority="28" operator="greaterThan">
      <formula>$V$17</formula>
    </cfRule>
  </conditionalFormatting>
  <conditionalFormatting sqref="L18:Q18">
    <cfRule type="cellIs" dxfId="138" priority="25" operator="lessThan">
      <formula>$U$18</formula>
    </cfRule>
    <cfRule type="cellIs" dxfId="137" priority="26" operator="greaterThan">
      <formula>$V$18</formula>
    </cfRule>
  </conditionalFormatting>
  <conditionalFormatting sqref="L19:Q19">
    <cfRule type="cellIs" dxfId="136" priority="23" operator="lessThan">
      <formula>$U$19</formula>
    </cfRule>
    <cfRule type="cellIs" dxfId="135" priority="24" operator="greaterThan">
      <formula>$V$19</formula>
    </cfRule>
  </conditionalFormatting>
  <conditionalFormatting sqref="L20:Q20">
    <cfRule type="cellIs" dxfId="134" priority="21" operator="lessThan">
      <formula>$U$20</formula>
    </cfRule>
    <cfRule type="cellIs" dxfId="133" priority="22" operator="greaterThan">
      <formula>$V$20</formula>
    </cfRule>
  </conditionalFormatting>
  <conditionalFormatting sqref="L21:Q21">
    <cfRule type="cellIs" dxfId="132" priority="19" operator="lessThan">
      <formula>$U$21</formula>
    </cfRule>
    <cfRule type="cellIs" dxfId="131" priority="20" operator="greaterThan">
      <formula>$V$21</formula>
    </cfRule>
  </conditionalFormatting>
  <conditionalFormatting sqref="L22:Q22">
    <cfRule type="cellIs" dxfId="130" priority="17" operator="lessThan">
      <formula>$U$22</formula>
    </cfRule>
    <cfRule type="cellIs" dxfId="129" priority="18" operator="greaterThan">
      <formula>$V$22</formula>
    </cfRule>
  </conditionalFormatting>
  <conditionalFormatting sqref="L23:Q23">
    <cfRule type="cellIs" dxfId="128" priority="15" operator="lessThan">
      <formula>$U$23</formula>
    </cfRule>
    <cfRule type="cellIs" dxfId="127" priority="16" operator="greaterThan">
      <formula>$V$23</formula>
    </cfRule>
  </conditionalFormatting>
  <conditionalFormatting sqref="L24:Q24">
    <cfRule type="cellIs" dxfId="126" priority="13" operator="lessThan">
      <formula>$U$24</formula>
    </cfRule>
    <cfRule type="cellIs" dxfId="125" priority="14" operator="greaterThan">
      <formula>$V$24</formula>
    </cfRule>
  </conditionalFormatting>
  <conditionalFormatting sqref="L25:Q25">
    <cfRule type="cellIs" dxfId="124" priority="11" operator="lessThan">
      <formula>$U$25</formula>
    </cfRule>
    <cfRule type="cellIs" dxfId="123" priority="12" operator="greaterThan">
      <formula>$V$25</formula>
    </cfRule>
  </conditionalFormatting>
  <conditionalFormatting sqref="L27:Q27">
    <cfRule type="cellIs" dxfId="122" priority="9" operator="lessThan">
      <formula>$U$27</formula>
    </cfRule>
    <cfRule type="cellIs" dxfId="121" priority="10" operator="greaterThan">
      <formula>$V$27</formula>
    </cfRule>
  </conditionalFormatting>
  <conditionalFormatting sqref="L28:Q28">
    <cfRule type="cellIs" dxfId="120" priority="7" operator="lessThan">
      <formula>$U$28</formula>
    </cfRule>
    <cfRule type="cellIs" dxfId="119" priority="8" operator="greaterThan">
      <formula>$V$28</formula>
    </cfRule>
  </conditionalFormatting>
  <conditionalFormatting sqref="L29:Q29">
    <cfRule type="cellIs" dxfId="118" priority="5" operator="lessThan">
      <formula>$U$29</formula>
    </cfRule>
    <cfRule type="cellIs" dxfId="117" priority="6" operator="greaterThan">
      <formula>$V$29</formula>
    </cfRule>
  </conditionalFormatting>
  <conditionalFormatting sqref="L30:Q30">
    <cfRule type="cellIs" dxfId="116" priority="3" operator="lessThan">
      <formula>$U$30</formula>
    </cfRule>
    <cfRule type="cellIs" dxfId="115" priority="4" operator="greaterThan">
      <formula>$V$30</formula>
    </cfRule>
  </conditionalFormatting>
  <conditionalFormatting sqref="L31:Q31">
    <cfRule type="cellIs" dxfId="114" priority="1" operator="lessThan">
      <formula>$U$31</formula>
    </cfRule>
    <cfRule type="cellIs" dxfId="113" priority="2" operator="greaterThan">
      <formula>$V$31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&amp;L&amp;"Rockwell,Gras"&amp;P/&amp;N&amp;C&amp;"Rockwell,Gras"&amp;D&amp;R&amp;"Rockwell,Gras"&amp;F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opLeftCell="A10" workbookViewId="0">
      <selection activeCell="C35" sqref="C35"/>
    </sheetView>
  </sheetViews>
  <sheetFormatPr baseColWidth="10" defaultRowHeight="15" x14ac:dyDescent="0.25"/>
  <cols>
    <col min="2" max="2" width="29.28515625" customWidth="1"/>
  </cols>
  <sheetData>
    <row r="1" spans="1:10" s="1" customFormat="1" ht="12.75" x14ac:dyDescent="0.2"/>
    <row r="2" spans="1:10" s="1" customFormat="1" ht="15.75" x14ac:dyDescent="0.25">
      <c r="A2" s="1" t="s">
        <v>0</v>
      </c>
      <c r="B2" s="476" t="str">
        <f>'[2]F 1 _ Echant et Séchage'!D5</f>
        <v>ISS-P15-PB-PAR</v>
      </c>
      <c r="C2" s="476"/>
      <c r="D2" s="476"/>
      <c r="E2" s="476"/>
      <c r="F2" s="476"/>
      <c r="G2" s="2"/>
      <c r="H2" s="2"/>
      <c r="I2" s="2"/>
      <c r="J2" s="2"/>
    </row>
    <row r="3" spans="1:10" s="1" customFormat="1" ht="12.75" x14ac:dyDescent="0.2">
      <c r="A3" s="1" t="s">
        <v>1</v>
      </c>
      <c r="B3" s="483" t="str">
        <f>'[2]F 1 _ Echant et Séchage'!D6</f>
        <v>861 RLM 75 - PARIS 8E ARRDT</v>
      </c>
      <c r="C3" s="483"/>
      <c r="D3" s="483"/>
      <c r="E3" s="483"/>
      <c r="F3" s="483"/>
      <c r="G3" s="3"/>
      <c r="H3" s="3"/>
      <c r="I3" s="3"/>
      <c r="J3" s="3"/>
    </row>
    <row r="4" spans="1:10" s="1" customFormat="1" ht="12.75" x14ac:dyDescent="0.2">
      <c r="A4" s="1" t="s">
        <v>2</v>
      </c>
      <c r="B4" s="243"/>
      <c r="C4" s="243" t="str">
        <f>'[2]F 1 _ Echant et Séchage'!D8</f>
        <v>ISSEANE</v>
      </c>
      <c r="D4" s="243"/>
      <c r="E4" s="243"/>
      <c r="F4" s="243"/>
      <c r="G4" s="3"/>
      <c r="H4" s="3"/>
      <c r="I4" s="3"/>
      <c r="J4" s="3"/>
    </row>
    <row r="5" spans="1:10" s="1" customFormat="1" ht="12.75" x14ac:dyDescent="0.2">
      <c r="A5" s="1" t="s">
        <v>3</v>
      </c>
      <c r="B5" s="243"/>
      <c r="C5" s="243" t="str">
        <f>'[2]F 1 _ Echant et Séchage'!E15</f>
        <v>sec, nuageux</v>
      </c>
      <c r="D5" s="243"/>
      <c r="E5" s="243"/>
      <c r="F5" s="243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478" t="s">
        <v>4</v>
      </c>
      <c r="B7" s="478"/>
      <c r="C7" s="478"/>
      <c r="D7" s="478"/>
      <c r="E7" s="478"/>
      <c r="F7" s="478"/>
      <c r="G7" s="478"/>
      <c r="H7" s="478"/>
      <c r="I7" s="478"/>
      <c r="J7" s="478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'[2]F 1 _ Echant et Séchage'!B12</f>
        <v>42158</v>
      </c>
      <c r="D9" s="477" t="s">
        <v>6</v>
      </c>
      <c r="E9" s="477"/>
      <c r="F9" s="477"/>
      <c r="G9" s="6">
        <f>'[2]F 1 _ Echant et Séchage'!G19</f>
        <v>129.18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 t="str">
        <f>'[2]F 1 _ Echant et Séchage'!E12</f>
        <v>7H55</v>
      </c>
      <c r="D10" s="477" t="s">
        <v>9</v>
      </c>
      <c r="E10" s="477"/>
      <c r="F10" s="477"/>
      <c r="G10" s="243">
        <f>'[2]F 1 _ Echant et Séchage'!H26</f>
        <v>0.42</v>
      </c>
      <c r="H10" s="243"/>
      <c r="I10" s="9"/>
      <c r="J10" s="1" t="s">
        <v>10</v>
      </c>
    </row>
    <row r="11" spans="1:10" s="1" customFormat="1" ht="12.75" x14ac:dyDescent="0.2">
      <c r="B11" s="477"/>
      <c r="C11" s="477"/>
      <c r="D11" s="477" t="s">
        <v>11</v>
      </c>
      <c r="E11" s="477"/>
      <c r="F11" s="477"/>
      <c r="G11" s="10">
        <f>G9/1000/G10</f>
        <v>0.30757142857142861</v>
      </c>
      <c r="H11" s="10"/>
      <c r="I11" s="3"/>
      <c r="J11" s="3" t="s">
        <v>12</v>
      </c>
    </row>
    <row r="12" spans="1:10" s="1" customFormat="1" ht="12.75" x14ac:dyDescent="0.2">
      <c r="B12" s="7"/>
      <c r="D12" s="477" t="s">
        <v>13</v>
      </c>
      <c r="E12" s="477"/>
      <c r="F12" s="477"/>
      <c r="G12" s="236">
        <f>'[2]F 1 _ Echant et Séchage'!D51</f>
        <v>0.48129741446044272</v>
      </c>
      <c r="H12" s="11"/>
      <c r="I12" s="11"/>
    </row>
    <row r="13" spans="1:10" s="1" customFormat="1" ht="12.75" x14ac:dyDescent="0.2">
      <c r="B13" s="12"/>
      <c r="G13" s="234"/>
      <c r="H13" s="234"/>
      <c r="I13" s="234"/>
    </row>
    <row r="14" spans="1:10" s="1" customFormat="1" ht="18.75" customHeight="1" x14ac:dyDescent="0.2">
      <c r="A14" s="478" t="s">
        <v>14</v>
      </c>
      <c r="B14" s="478"/>
      <c r="C14" s="478"/>
      <c r="D14" s="478"/>
      <c r="E14" s="478"/>
      <c r="F14" s="478"/>
      <c r="G14" s="478"/>
      <c r="H14" s="478"/>
      <c r="I14" s="478"/>
      <c r="J14" s="478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479" t="s">
        <v>16</v>
      </c>
      <c r="H16" s="481" t="s">
        <v>17</v>
      </c>
      <c r="I16" s="479" t="s">
        <v>18</v>
      </c>
      <c r="J16" s="481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0"/>
      <c r="H17" s="482"/>
      <c r="I17" s="480"/>
      <c r="J17" s="482"/>
    </row>
    <row r="18" spans="1:10" s="1" customFormat="1" ht="15" customHeight="1" x14ac:dyDescent="0.2">
      <c r="A18" s="489" t="s">
        <v>26</v>
      </c>
      <c r="B18" s="18" t="s">
        <v>119</v>
      </c>
      <c r="C18" s="19">
        <f>'[2]F 4 TRI _ Granulo'!K5</f>
        <v>3.4741719745222928</v>
      </c>
      <c r="D18" s="20">
        <f>'[2]F 4 TRI _ Granulo'!H5</f>
        <v>0.75</v>
      </c>
      <c r="E18" s="20">
        <f>'[2]F 4 TRI _ Granulo'!E5</f>
        <v>0</v>
      </c>
      <c r="F18" s="20">
        <f>SUM(C18:E18)</f>
        <v>4.2241719745222923</v>
      </c>
      <c r="G18" s="21">
        <f t="shared" ref="G18:G64" si="0">F18/$F$64</f>
        <v>6.2197690171199665E-2</v>
      </c>
      <c r="H18" s="21">
        <f>G18*J18/I18</f>
        <v>0.1191629561006835</v>
      </c>
      <c r="I18" s="484">
        <f>G18+G19+G20+G21+G22</f>
        <v>0.19333245488124717</v>
      </c>
      <c r="J18" s="484">
        <f>'[2]Calcul sous cat &gt;20'!N8/100</f>
        <v>0.37040068160793366</v>
      </c>
    </row>
    <row r="19" spans="1:10" s="1" customFormat="1" ht="15" customHeight="1" x14ac:dyDescent="0.2">
      <c r="A19" s="490"/>
      <c r="B19" s="18" t="s">
        <v>27</v>
      </c>
      <c r="C19" s="19">
        <f>'[2]F 4 TRI _ Granulo'!K6</f>
        <v>7.8042993630573259</v>
      </c>
      <c r="D19" s="20">
        <f>'[2]F 4 TRI _ Granulo'!H6</f>
        <v>0.85000000000000009</v>
      </c>
      <c r="E19" s="20">
        <f>'[2]F 4 TRI _ Granulo'!E6</f>
        <v>0</v>
      </c>
      <c r="F19" s="20">
        <f>SUM(C19:E19)</f>
        <v>8.6542993630573264</v>
      </c>
      <c r="G19" s="21">
        <f t="shared" si="0"/>
        <v>0.12742791573800058</v>
      </c>
      <c r="H19" s="21">
        <f>G19*J18/I18</f>
        <v>0.24413586882877775</v>
      </c>
      <c r="I19" s="484"/>
      <c r="J19" s="484"/>
    </row>
    <row r="20" spans="1:10" s="1" customFormat="1" ht="15" customHeight="1" x14ac:dyDescent="0.2">
      <c r="A20" s="490"/>
      <c r="B20" s="18" t="s">
        <v>28</v>
      </c>
      <c r="C20" s="19">
        <f>'[2]F 4 TRI _ Granulo'!K7</f>
        <v>0</v>
      </c>
      <c r="D20" s="20">
        <f>'[2]F 4 TRI _ Granulo'!H7</f>
        <v>0</v>
      </c>
      <c r="E20" s="20">
        <f>'[2]F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484"/>
      <c r="J20" s="484"/>
    </row>
    <row r="21" spans="1:10" s="1" customFormat="1" ht="15" customHeight="1" x14ac:dyDescent="0.2">
      <c r="A21" s="490"/>
      <c r="B21" s="18" t="s">
        <v>29</v>
      </c>
      <c r="C21" s="19">
        <f>'[2]F 4 TRI _ Granulo'!K8</f>
        <v>0</v>
      </c>
      <c r="D21" s="20">
        <f>'[2]F 4 TRI _ Granulo'!H8</f>
        <v>0</v>
      </c>
      <c r="E21" s="20">
        <f>'[2]F 4 TRI _ Granulo'!E8</f>
        <v>0</v>
      </c>
      <c r="F21" s="20">
        <f t="shared" si="1"/>
        <v>0</v>
      </c>
      <c r="G21" s="21">
        <f t="shared" si="0"/>
        <v>0</v>
      </c>
      <c r="H21" s="21">
        <f>G21*J18/I18</f>
        <v>0</v>
      </c>
      <c r="I21" s="484"/>
      <c r="J21" s="484"/>
    </row>
    <row r="22" spans="1:10" s="1" customFormat="1" ht="15" customHeight="1" x14ac:dyDescent="0.2">
      <c r="A22" s="491"/>
      <c r="B22" s="18" t="s">
        <v>30</v>
      </c>
      <c r="C22" s="19">
        <f>'[2]F 4 TRI _ Granulo'!K9</f>
        <v>0.25175159235668815</v>
      </c>
      <c r="D22" s="20">
        <f>'[2]F 4 TRI _ Granulo'!H9</f>
        <v>0</v>
      </c>
      <c r="E22" s="20">
        <f>'[2]F 4 TRI _ Granulo'!E9</f>
        <v>0</v>
      </c>
      <c r="F22" s="20">
        <f t="shared" si="1"/>
        <v>0.25175159235668815</v>
      </c>
      <c r="G22" s="21">
        <f t="shared" si="0"/>
        <v>3.7068489720469386E-3</v>
      </c>
      <c r="H22" s="21">
        <f>G22*J18/I18</f>
        <v>7.101856678472426E-3</v>
      </c>
      <c r="I22" s="484"/>
      <c r="J22" s="484"/>
    </row>
    <row r="23" spans="1:10" s="1" customFormat="1" ht="15" customHeight="1" x14ac:dyDescent="0.2">
      <c r="A23" s="485" t="s">
        <v>31</v>
      </c>
      <c r="B23" s="18" t="s">
        <v>32</v>
      </c>
      <c r="C23" s="19">
        <f>'[2]F 4 TRI _ Granulo'!K10</f>
        <v>0.25175159235668815</v>
      </c>
      <c r="D23" s="20">
        <f>'[2]F 4 TRI _ Granulo'!H10</f>
        <v>0.25</v>
      </c>
      <c r="E23" s="20">
        <f>'[2]F 4 TRI _ Granulo'!E10</f>
        <v>0</v>
      </c>
      <c r="F23" s="20">
        <f t="shared" si="1"/>
        <v>0.5017515923566882</v>
      </c>
      <c r="G23" s="21">
        <f t="shared" si="0"/>
        <v>7.3879070910309293E-3</v>
      </c>
      <c r="H23" s="21">
        <f>'[2]Calcul sous cat &gt;20'!N32/100</f>
        <v>5.8942587009552325E-3</v>
      </c>
      <c r="I23" s="488">
        <f>G23+G24+G25+G26+G27</f>
        <v>6.1195598298553991E-2</v>
      </c>
      <c r="J23" s="488">
        <f>'[2]Calcul sous cat &gt;20'!N9/100</f>
        <v>4.8051794391281065E-2</v>
      </c>
    </row>
    <row r="24" spans="1:10" s="1" customFormat="1" ht="15" customHeight="1" x14ac:dyDescent="0.2">
      <c r="A24" s="486"/>
      <c r="B24" s="18" t="s">
        <v>33</v>
      </c>
      <c r="C24" s="19">
        <f>'[2]F 4 TRI _ Granulo'!K11</f>
        <v>0.25175159235668815</v>
      </c>
      <c r="D24" s="20">
        <f>'[2]F 4 TRI _ Granulo'!H11</f>
        <v>0.95000000000000018</v>
      </c>
      <c r="E24" s="20">
        <f>'[2]F 4 TRI _ Granulo'!E11</f>
        <v>0</v>
      </c>
      <c r="F24" s="20">
        <f t="shared" si="1"/>
        <v>1.2017515923566884</v>
      </c>
      <c r="G24" s="21">
        <f t="shared" si="0"/>
        <v>1.7694869824186103E-2</v>
      </c>
      <c r="H24" s="21">
        <f>'[2]Calcul sous cat &gt;20'!N33/100</f>
        <v>1.3632628621232394E-2</v>
      </c>
      <c r="I24" s="488"/>
      <c r="J24" s="488"/>
    </row>
    <row r="25" spans="1:10" s="1" customFormat="1" ht="15" customHeight="1" x14ac:dyDescent="0.2">
      <c r="A25" s="486"/>
      <c r="B25" s="18" t="s">
        <v>34</v>
      </c>
      <c r="C25" s="19">
        <f>'[2]F 4 TRI _ Granulo'!K12</f>
        <v>0</v>
      </c>
      <c r="D25" s="20">
        <f>'[2]F 4 TRI _ Granulo'!H12</f>
        <v>0</v>
      </c>
      <c r="E25" s="20">
        <f>'[2]F 4 TRI _ Granulo'!E12</f>
        <v>0</v>
      </c>
      <c r="F25" s="20">
        <f t="shared" si="1"/>
        <v>0</v>
      </c>
      <c r="G25" s="21">
        <f t="shared" si="0"/>
        <v>0</v>
      </c>
      <c r="H25" s="21">
        <f>'[2]Calcul sous cat &gt;20'!N34/100</f>
        <v>0</v>
      </c>
      <c r="I25" s="488"/>
      <c r="J25" s="488"/>
    </row>
    <row r="26" spans="1:10" s="1" customFormat="1" ht="15" customHeight="1" x14ac:dyDescent="0.2">
      <c r="A26" s="486"/>
      <c r="B26" s="18" t="s">
        <v>35</v>
      </c>
      <c r="C26" s="19">
        <f>'[2]F 4 TRI _ Granulo'!K13</f>
        <v>0.55385350318471382</v>
      </c>
      <c r="D26" s="20">
        <f>'[2]F 4 TRI _ Granulo'!H13</f>
        <v>0.13000000000000012</v>
      </c>
      <c r="E26" s="20">
        <f>'[2]F 4 TRI _ Granulo'!E13</f>
        <v>0</v>
      </c>
      <c r="F26" s="20">
        <f t="shared" si="1"/>
        <v>0.68385350318471394</v>
      </c>
      <c r="G26" s="21">
        <f t="shared" si="0"/>
        <v>1.0069217960374939E-2</v>
      </c>
      <c r="H26" s="21">
        <f>'[2]Calcul sous cat &gt;20'!N35/100</f>
        <v>7.8332699546516046E-3</v>
      </c>
      <c r="I26" s="488"/>
      <c r="J26" s="488"/>
    </row>
    <row r="27" spans="1:10" s="1" customFormat="1" ht="15" customHeight="1" x14ac:dyDescent="0.2">
      <c r="A27" s="487"/>
      <c r="B27" s="18" t="s">
        <v>36</v>
      </c>
      <c r="C27" s="19">
        <f>'[2]F 4 TRI _ Granulo'!K14</f>
        <v>1.2587579617834395</v>
      </c>
      <c r="D27" s="20">
        <f>'[2]F 4 TRI _ Granulo'!H14</f>
        <v>0.51000000000000023</v>
      </c>
      <c r="E27" s="20">
        <f>'[2]F 4 TRI _ Granulo'!E14</f>
        <v>0</v>
      </c>
      <c r="F27" s="20">
        <f t="shared" si="1"/>
        <v>1.7687579617834397</v>
      </c>
      <c r="G27" s="21">
        <f t="shared" si="0"/>
        <v>2.6043603422962018E-2</v>
      </c>
      <c r="H27" s="21">
        <f>'[2]Calcul sous cat &gt;20'!N36/100</f>
        <v>2.0691637114441837E-2</v>
      </c>
      <c r="I27" s="488"/>
      <c r="J27" s="488"/>
    </row>
    <row r="28" spans="1:10" s="1" customFormat="1" ht="15" customHeight="1" x14ac:dyDescent="0.2">
      <c r="A28" s="485" t="s">
        <v>37</v>
      </c>
      <c r="B28" s="18" t="s">
        <v>38</v>
      </c>
      <c r="C28" s="19">
        <f>'[2]F 4 TRI _ Granulo'!K15</f>
        <v>0.55385350318471382</v>
      </c>
      <c r="D28" s="20">
        <f>'[2]F 4 TRI _ Granulo'!H15</f>
        <v>0.31000000000000005</v>
      </c>
      <c r="E28" s="20">
        <f>'[2]F 4 TRI _ Granulo'!E15</f>
        <v>0</v>
      </c>
      <c r="F28" s="20">
        <f t="shared" si="1"/>
        <v>0.86385350318471388</v>
      </c>
      <c r="G28" s="21">
        <f t="shared" si="0"/>
        <v>1.2719579806043413E-2</v>
      </c>
      <c r="H28" s="21">
        <f>'[2]Calcul sous cat &gt;20'!N37/100</f>
        <v>9.9610408802212908E-3</v>
      </c>
      <c r="I28" s="488">
        <f>G28+G29+G30</f>
        <v>0.10994828230573978</v>
      </c>
      <c r="J28" s="488">
        <f>'[2]Calcul sous cat &gt;20'!N10/100</f>
        <v>8.6342594128149097E-2</v>
      </c>
    </row>
    <row r="29" spans="1:10" s="1" customFormat="1" ht="15" customHeight="1" x14ac:dyDescent="0.2">
      <c r="A29" s="486"/>
      <c r="B29" s="18" t="s">
        <v>39</v>
      </c>
      <c r="C29" s="19">
        <f>'[2]F 4 TRI _ Granulo'!K16</f>
        <v>1.6615605095541406</v>
      </c>
      <c r="D29" s="20">
        <f>'[2]F 4 TRI _ Granulo'!H16</f>
        <v>1.7000000000000002</v>
      </c>
      <c r="E29" s="20">
        <f>'[2]F 4 TRI _ Granulo'!E16</f>
        <v>2.5999999999999996</v>
      </c>
      <c r="F29" s="20">
        <f t="shared" si="1"/>
        <v>5.9615605095541406</v>
      </c>
      <c r="G29" s="21">
        <f t="shared" si="0"/>
        <v>8.7779402862034409E-2</v>
      </c>
      <c r="H29" s="21">
        <f>'[2]Calcul sous cat &gt;20'!N38/100</f>
        <v>6.8823765777081242E-2</v>
      </c>
      <c r="I29" s="488"/>
      <c r="J29" s="488"/>
    </row>
    <row r="30" spans="1:10" s="1" customFormat="1" ht="15" customHeight="1" x14ac:dyDescent="0.2">
      <c r="A30" s="487"/>
      <c r="B30" s="18" t="s">
        <v>40</v>
      </c>
      <c r="C30" s="19">
        <f>'[2]F 4 TRI _ Granulo'!K17</f>
        <v>0.25175159235668815</v>
      </c>
      <c r="D30" s="20">
        <f>'[2]F 4 TRI _ Granulo'!H17</f>
        <v>0.39000000000000012</v>
      </c>
      <c r="E30" s="20">
        <f>'[2]F 4 TRI _ Granulo'!E17</f>
        <v>0</v>
      </c>
      <c r="F30" s="20">
        <f t="shared" si="1"/>
        <v>0.64175159235668833</v>
      </c>
      <c r="G30" s="21">
        <f t="shared" si="0"/>
        <v>9.4492996376619662E-3</v>
      </c>
      <c r="H30" s="21">
        <f>'[2]Calcul sous cat &gt;20'!N39/100</f>
        <v>7.5577874708465673E-3</v>
      </c>
      <c r="I30" s="488"/>
      <c r="J30" s="488"/>
    </row>
    <row r="31" spans="1:10" s="1" customFormat="1" ht="15" customHeight="1" x14ac:dyDescent="0.2">
      <c r="A31" s="492" t="s">
        <v>41</v>
      </c>
      <c r="B31" s="18" t="s">
        <v>42</v>
      </c>
      <c r="C31" s="19">
        <f>'[2]F 4 TRI _ Granulo'!K18</f>
        <v>0</v>
      </c>
      <c r="D31" s="20">
        <f>'[2]F 4 TRI _ Granulo'!H18</f>
        <v>0.51000000000000023</v>
      </c>
      <c r="E31" s="20">
        <f>'[2]F 4 TRI _ Granulo'!E18</f>
        <v>0</v>
      </c>
      <c r="F31" s="20">
        <f t="shared" si="1"/>
        <v>0.51000000000000023</v>
      </c>
      <c r="G31" s="21">
        <f t="shared" si="0"/>
        <v>7.5093585627273429E-3</v>
      </c>
      <c r="H31" s="249">
        <f>G31*J31/I31</f>
        <v>7.4233324389977352E-3</v>
      </c>
      <c r="I31" s="495">
        <f>G31+G32+G33+G34</f>
        <v>1.6806257705017359E-2</v>
      </c>
      <c r="J31" s="495">
        <f>'[2]Calcul sous cat &gt;20'!N11/100</f>
        <v>1.6613727651659728E-2</v>
      </c>
    </row>
    <row r="32" spans="1:10" s="1" customFormat="1" ht="15" customHeight="1" x14ac:dyDescent="0.2">
      <c r="A32" s="493"/>
      <c r="B32" s="18" t="s">
        <v>43</v>
      </c>
      <c r="C32" s="19">
        <f>'[2]F 4 TRI _ Granulo'!K19</f>
        <v>0.15105095541401287</v>
      </c>
      <c r="D32" s="20">
        <f>'[2]F 4 TRI _ Granulo'!H19</f>
        <v>0.43000000000000016</v>
      </c>
      <c r="E32" s="20">
        <f>'[2]F 4 TRI _ Granulo'!E19</f>
        <v>0</v>
      </c>
      <c r="F32" s="20">
        <f t="shared" si="1"/>
        <v>0.58105095541401308</v>
      </c>
      <c r="G32" s="21">
        <f t="shared" si="0"/>
        <v>8.555529347880628E-3</v>
      </c>
      <c r="H32" s="249">
        <f>G32*J31/I31</f>
        <v>8.4575184432068001E-3</v>
      </c>
      <c r="I32" s="496"/>
      <c r="J32" s="496"/>
    </row>
    <row r="33" spans="1:10" s="1" customFormat="1" ht="15" customHeight="1" x14ac:dyDescent="0.2">
      <c r="A33" s="493"/>
      <c r="B33" s="18" t="s">
        <v>44</v>
      </c>
      <c r="C33" s="19">
        <f>'[2]F 4 TRI _ Granulo'!K20</f>
        <v>0</v>
      </c>
      <c r="D33" s="20">
        <f>'[2]F 4 TRI _ Granulo'!H20</f>
        <v>0</v>
      </c>
      <c r="E33" s="20">
        <f>'[2]F 4 TRI _ Granulo'!E20</f>
        <v>0</v>
      </c>
      <c r="F33" s="20">
        <f t="shared" si="1"/>
        <v>0</v>
      </c>
      <c r="G33" s="21">
        <f t="shared" si="0"/>
        <v>0</v>
      </c>
      <c r="H33" s="249">
        <f>G33*J31/I31</f>
        <v>0</v>
      </c>
      <c r="I33" s="496"/>
      <c r="J33" s="496"/>
    </row>
    <row r="34" spans="1:10" s="1" customFormat="1" ht="15" customHeight="1" x14ac:dyDescent="0.2">
      <c r="A34" s="494"/>
      <c r="B34" s="18" t="s">
        <v>120</v>
      </c>
      <c r="C34" s="19">
        <f>'[2]F 4 TRI _ Granulo'!K21</f>
        <v>5.0350318471337627E-2</v>
      </c>
      <c r="D34" s="20">
        <f>'[2]F 4 TRI _ Granulo'!H21</f>
        <v>0</v>
      </c>
      <c r="E34" s="20">
        <f>'[2]F 4 TRI _ Granulo'!E21</f>
        <v>0</v>
      </c>
      <c r="F34" s="20">
        <f t="shared" si="1"/>
        <v>5.0350318471337627E-2</v>
      </c>
      <c r="G34" s="21">
        <f t="shared" si="0"/>
        <v>7.4136979440938774E-4</v>
      </c>
      <c r="H34" s="249">
        <f>G34*J31/I31</f>
        <v>7.328767694551909E-4</v>
      </c>
      <c r="I34" s="497"/>
      <c r="J34" s="497"/>
    </row>
    <row r="35" spans="1:10" s="1" customFormat="1" ht="15" customHeight="1" x14ac:dyDescent="0.2">
      <c r="A35" s="244" t="s">
        <v>45</v>
      </c>
      <c r="B35" s="18" t="s">
        <v>46</v>
      </c>
      <c r="C35" s="19">
        <f>'[2]F 4 TRI _ Granulo'!K22</f>
        <v>0.45315286624203865</v>
      </c>
      <c r="D35" s="20">
        <f>'[2]F 4 TRI _ Granulo'!H22</f>
        <v>0.57000000000000028</v>
      </c>
      <c r="E35" s="20">
        <f>'[2]F 4 TRI _ Granulo'!E22</f>
        <v>0</v>
      </c>
      <c r="F35" s="20">
        <f t="shared" si="1"/>
        <v>1.023152866242039</v>
      </c>
      <c r="G35" s="21">
        <f t="shared" si="0"/>
        <v>1.5065140660967992E-2</v>
      </c>
      <c r="H35" s="21">
        <f>'[2]Calcul sous cat &gt;20'!N43/100</f>
        <v>1.1821936796643406E-2</v>
      </c>
      <c r="I35" s="245">
        <f>G35</f>
        <v>1.5065140660967992E-2</v>
      </c>
      <c r="J35" s="245">
        <f>'[2]Calcul sous cat &gt;20'!N12/100</f>
        <v>1.1821936796643406E-2</v>
      </c>
    </row>
    <row r="36" spans="1:10" s="1" customFormat="1" ht="15" customHeight="1" x14ac:dyDescent="0.2">
      <c r="A36" s="485" t="s">
        <v>47</v>
      </c>
      <c r="B36" s="18" t="s">
        <v>48</v>
      </c>
      <c r="C36" s="19">
        <f>'[2]F 4 TRI _ Granulo'!K23</f>
        <v>0</v>
      </c>
      <c r="D36" s="20">
        <f>'[2]F 4 TRI _ Granulo'!H23</f>
        <v>0</v>
      </c>
      <c r="E36" s="20">
        <f>'[2]F 4 TRI _ Granulo'!E23</f>
        <v>0</v>
      </c>
      <c r="F36" s="20">
        <f t="shared" si="1"/>
        <v>0</v>
      </c>
      <c r="G36" s="21">
        <f t="shared" si="0"/>
        <v>0</v>
      </c>
      <c r="H36" s="21">
        <f>'[2]Calcul sous cat &gt;20'!N44/100</f>
        <v>0</v>
      </c>
      <c r="I36" s="488">
        <f>G36+G37</f>
        <v>0.19314207149318249</v>
      </c>
      <c r="J36" s="488">
        <f>'[2]Calcul sous cat &gt;20'!N13/100</f>
        <v>0.15571698226306066</v>
      </c>
    </row>
    <row r="37" spans="1:10" s="1" customFormat="1" ht="15" customHeight="1" x14ac:dyDescent="0.2">
      <c r="A37" s="487"/>
      <c r="B37" s="18" t="s">
        <v>49</v>
      </c>
      <c r="C37" s="19">
        <f>'[2]F 4 TRI _ Granulo'!K24</f>
        <v>6.7972929936305739</v>
      </c>
      <c r="D37" s="20">
        <f>'[2]F 4 TRI _ Granulo'!H24</f>
        <v>6.3199999999999985</v>
      </c>
      <c r="E37" s="20">
        <f>'[2]F 4 TRI _ Granulo'!E24</f>
        <v>0</v>
      </c>
      <c r="F37" s="20">
        <f t="shared" si="1"/>
        <v>13.117292993630572</v>
      </c>
      <c r="G37" s="21">
        <f t="shared" si="0"/>
        <v>0.19314207149318249</v>
      </c>
      <c r="H37" s="21">
        <f>'[2]Calcul sous cat &gt;20'!N45/100</f>
        <v>0.15571698226306066</v>
      </c>
      <c r="I37" s="488"/>
      <c r="J37" s="488"/>
    </row>
    <row r="38" spans="1:10" s="1" customFormat="1" ht="15" customHeight="1" x14ac:dyDescent="0.2">
      <c r="A38" s="485" t="s">
        <v>50</v>
      </c>
      <c r="B38" s="18" t="s">
        <v>51</v>
      </c>
      <c r="C38" s="19">
        <f>'[2]F 4 TRI _ Granulo'!K25</f>
        <v>1.46015923566879</v>
      </c>
      <c r="D38" s="20">
        <f>'[2]F 4 TRI _ Granulo'!H25</f>
        <v>5.5299999999999994</v>
      </c>
      <c r="E38" s="20">
        <f>'[2]F 4 TRI _ Granulo'!E25</f>
        <v>0</v>
      </c>
      <c r="F38" s="20">
        <f t="shared" si="1"/>
        <v>6.9901592356687896</v>
      </c>
      <c r="G38" s="21">
        <f t="shared" si="0"/>
        <v>0.10292472962979808</v>
      </c>
      <c r="H38" s="21">
        <f>'[2]Calcul sous cat &gt;20'!N46/100</f>
        <v>9.1997442888175851E-2</v>
      </c>
      <c r="I38" s="488">
        <f>G38+G39+G40+G41+G42</f>
        <v>0.20272360786836721</v>
      </c>
      <c r="J38" s="488">
        <f>'[2]Calcul sous cat &gt;20'!N14/100</f>
        <v>0.1794755316175532</v>
      </c>
    </row>
    <row r="39" spans="1:10" s="1" customFormat="1" ht="15" customHeight="1" x14ac:dyDescent="0.2">
      <c r="A39" s="486"/>
      <c r="B39" s="18" t="s">
        <v>52</v>
      </c>
      <c r="C39" s="19">
        <f>'[2]F 4 TRI _ Granulo'!K26</f>
        <v>0.35245222929936343</v>
      </c>
      <c r="D39" s="20">
        <f>'[2]F 4 TRI _ Granulo'!H26</f>
        <v>0.64999999999999991</v>
      </c>
      <c r="E39" s="20">
        <f>'[2]F 4 TRI _ Granulo'!E26</f>
        <v>0</v>
      </c>
      <c r="F39" s="20">
        <f t="shared" si="1"/>
        <v>1.0024522292993634</v>
      </c>
      <c r="G39" s="21">
        <f t="shared" si="0"/>
        <v>1.4760339670224087E-2</v>
      </c>
      <c r="H39" s="21">
        <f>'[2]Calcul sous cat &gt;20'!N47/100</f>
        <v>1.1786944306009803E-2</v>
      </c>
      <c r="I39" s="488"/>
      <c r="J39" s="488"/>
    </row>
    <row r="40" spans="1:10" s="1" customFormat="1" ht="15" customHeight="1" x14ac:dyDescent="0.2">
      <c r="A40" s="486"/>
      <c r="B40" s="18" t="s">
        <v>53</v>
      </c>
      <c r="C40" s="19">
        <f>'[2]F 4 TRI _ Granulo'!K27</f>
        <v>0</v>
      </c>
      <c r="D40" s="20">
        <f>'[2]F 4 TRI _ Granulo'!H27</f>
        <v>0.19000000000000017</v>
      </c>
      <c r="E40" s="20">
        <f>'[2]F 4 TRI _ Granulo'!E27</f>
        <v>0</v>
      </c>
      <c r="F40" s="20">
        <f t="shared" si="1"/>
        <v>0.19000000000000017</v>
      </c>
      <c r="G40" s="21">
        <f t="shared" si="0"/>
        <v>2.7976041704278346E-3</v>
      </c>
      <c r="H40" s="21">
        <f>'[2]Calcul sous cat &gt;20'!N48/100</f>
        <v>2.2335113529557658E-3</v>
      </c>
      <c r="I40" s="488"/>
      <c r="J40" s="488"/>
    </row>
    <row r="41" spans="1:10" s="1" customFormat="1" ht="15" customHeight="1" x14ac:dyDescent="0.2">
      <c r="A41" s="486"/>
      <c r="B41" s="18" t="s">
        <v>54</v>
      </c>
      <c r="C41" s="19">
        <f>'[2]F 4 TRI _ Granulo'!K28</f>
        <v>1.1580573248407642</v>
      </c>
      <c r="D41" s="20">
        <f>'[2]F 4 TRI _ Granulo'!H28</f>
        <v>2.86</v>
      </c>
      <c r="E41" s="20">
        <f>'[2]F 4 TRI _ Granulo'!E28</f>
        <v>0</v>
      </c>
      <c r="F41" s="20">
        <f t="shared" si="1"/>
        <v>4.0180573248407638</v>
      </c>
      <c r="G41" s="21">
        <f t="shared" si="0"/>
        <v>5.916281015259274E-2</v>
      </c>
      <c r="H41" s="21">
        <f>'[2]Calcul sous cat &gt;20'!N49/100</f>
        <v>5.2841984597937867E-2</v>
      </c>
      <c r="I41" s="488"/>
      <c r="J41" s="488"/>
    </row>
    <row r="42" spans="1:10" s="1" customFormat="1" ht="27" customHeight="1" x14ac:dyDescent="0.2">
      <c r="A42" s="487"/>
      <c r="B42" s="18" t="s">
        <v>55</v>
      </c>
      <c r="C42" s="19">
        <f>'[2]F 4 TRI _ Granulo'!K29</f>
        <v>1.0573566878980902</v>
      </c>
      <c r="D42" s="20">
        <f>'[2]F 4 TRI _ Granulo'!H29</f>
        <v>0.51000000000000023</v>
      </c>
      <c r="E42" s="20">
        <f>'[2]F 4 TRI _ Granulo'!E29</f>
        <v>0</v>
      </c>
      <c r="F42" s="20">
        <f t="shared" si="1"/>
        <v>1.5673566878980905</v>
      </c>
      <c r="G42" s="21">
        <f t="shared" si="0"/>
        <v>2.3078124245324485E-2</v>
      </c>
      <c r="H42" s="21">
        <f>'[2]Calcul sous cat &gt;20'!N50/100</f>
        <v>2.0615648472473894E-2</v>
      </c>
      <c r="I42" s="488"/>
      <c r="J42" s="488"/>
    </row>
    <row r="43" spans="1:10" s="1" customFormat="1" ht="26.25" customHeight="1" x14ac:dyDescent="0.2">
      <c r="A43" s="244" t="s">
        <v>56</v>
      </c>
      <c r="B43" s="18" t="s">
        <v>56</v>
      </c>
      <c r="C43" s="19">
        <f>'[2]F 4 TRI _ Granulo'!K30</f>
        <v>0.25175159235668815</v>
      </c>
      <c r="D43" s="20">
        <f>'[2]F 4 TRI _ Granulo'!H30</f>
        <v>0.49000000000000021</v>
      </c>
      <c r="E43" s="20">
        <f>'[2]F 4 TRI _ Granulo'!E30</f>
        <v>0.54</v>
      </c>
      <c r="F43" s="20">
        <f t="shared" si="1"/>
        <v>1.2817515923566885</v>
      </c>
      <c r="G43" s="21">
        <f t="shared" si="0"/>
        <v>1.8872808422260981E-2</v>
      </c>
      <c r="H43" s="21">
        <f>J43</f>
        <v>1.5123755257389642E-2</v>
      </c>
      <c r="I43" s="245">
        <f>G43</f>
        <v>1.8872808422260981E-2</v>
      </c>
      <c r="J43" s="245">
        <f>'[2]Calcul sous cat &gt;20'!N15/100</f>
        <v>1.5123755257389642E-2</v>
      </c>
    </row>
    <row r="44" spans="1:10" s="1" customFormat="1" ht="15" customHeight="1" x14ac:dyDescent="0.2">
      <c r="A44" s="485" t="s">
        <v>57</v>
      </c>
      <c r="B44" s="18" t="s">
        <v>58</v>
      </c>
      <c r="C44" s="19">
        <f>'[2]F 4 TRI _ Granulo'!K31</f>
        <v>0.65455414012738899</v>
      </c>
      <c r="D44" s="20">
        <f>'[2]F 4 TRI _ Granulo'!H31</f>
        <v>0.9700000000000002</v>
      </c>
      <c r="E44" s="20">
        <f>'[2]F 4 TRI _ Granulo'!E31</f>
        <v>0</v>
      </c>
      <c r="F44" s="20">
        <f t="shared" si="1"/>
        <v>1.6245541401273891</v>
      </c>
      <c r="G44" s="21">
        <f t="shared" si="0"/>
        <v>2.3920312828979919E-2</v>
      </c>
      <c r="H44" s="21">
        <f>G44*J44/I44</f>
        <v>1.8751839347357704E-2</v>
      </c>
      <c r="I44" s="488">
        <f>G44+G45</f>
        <v>2.6144422212208081E-2</v>
      </c>
      <c r="J44" s="488">
        <f>'[2]Calcul sous cat &gt;20'!N16/100</f>
        <v>2.0495384347936355E-2</v>
      </c>
    </row>
    <row r="45" spans="1:10" s="1" customFormat="1" ht="15" customHeight="1" x14ac:dyDescent="0.2">
      <c r="A45" s="487"/>
      <c r="B45" s="18" t="s">
        <v>59</v>
      </c>
      <c r="C45" s="19">
        <f>'[2]F 4 TRI _ Granulo'!K32</f>
        <v>0.15105095541401287</v>
      </c>
      <c r="D45" s="20">
        <f>'[2]F 4 TRI _ Granulo'!H32</f>
        <v>0</v>
      </c>
      <c r="E45" s="20">
        <f>'[2]F 4 TRI _ Granulo'!E32</f>
        <v>0</v>
      </c>
      <c r="F45" s="20">
        <f t="shared" si="1"/>
        <v>0.15105095541401287</v>
      </c>
      <c r="G45" s="21">
        <f t="shared" si="0"/>
        <v>2.2241093832281629E-3</v>
      </c>
      <c r="H45" s="21">
        <f>G45*J44/I44</f>
        <v>1.7435450005786524E-3</v>
      </c>
      <c r="I45" s="488"/>
      <c r="J45" s="488"/>
    </row>
    <row r="46" spans="1:10" s="1" customFormat="1" ht="15" customHeight="1" x14ac:dyDescent="0.2">
      <c r="A46" s="485" t="s">
        <v>60</v>
      </c>
      <c r="B46" s="18" t="s">
        <v>61</v>
      </c>
      <c r="C46" s="19">
        <f>'[2]F 4 TRI _ Granulo'!K33</f>
        <v>0.55385350318471382</v>
      </c>
      <c r="D46" s="20">
        <f>'[2]F 4 TRI _ Granulo'!H33</f>
        <v>0.29000000000000004</v>
      </c>
      <c r="E46" s="20">
        <f>'[2]F 4 TRI _ Granulo'!E33</f>
        <v>0</v>
      </c>
      <c r="F46" s="20">
        <f t="shared" si="1"/>
        <v>0.84385350318471386</v>
      </c>
      <c r="G46" s="21">
        <f t="shared" si="0"/>
        <v>1.2425095156524693E-2</v>
      </c>
      <c r="H46" s="21">
        <f t="shared" ref="H46:H51" si="2">G46*$J$46/$I$46</f>
        <v>1.005657769690986E-2</v>
      </c>
      <c r="I46" s="488">
        <f>G46+G47+G50+G51+G48+G49</f>
        <v>3.3320375383521714E-2</v>
      </c>
      <c r="J46" s="488">
        <f>'[2]Calcul sous cat &gt;20'!N17/100</f>
        <v>2.696872255007449E-2</v>
      </c>
    </row>
    <row r="47" spans="1:10" s="1" customFormat="1" ht="15" customHeight="1" x14ac:dyDescent="0.2">
      <c r="A47" s="486"/>
      <c r="B47" s="18" t="s">
        <v>62</v>
      </c>
      <c r="C47" s="19">
        <f>'[2]F 4 TRI _ Granulo'!K34</f>
        <v>0.45315286624203865</v>
      </c>
      <c r="D47" s="20">
        <f>'[2]F 4 TRI _ Granulo'!H34</f>
        <v>0.1100000000000001</v>
      </c>
      <c r="E47" s="20">
        <f>'[2]F 4 TRI _ Granulo'!E34</f>
        <v>0</v>
      </c>
      <c r="F47" s="20">
        <f t="shared" si="1"/>
        <v>0.56315286624203875</v>
      </c>
      <c r="G47" s="21">
        <f t="shared" si="0"/>
        <v>8.2919937220374464E-3</v>
      </c>
      <c r="H47" s="21">
        <f t="shared" si="2"/>
        <v>6.711343299787037E-3</v>
      </c>
      <c r="I47" s="488"/>
      <c r="J47" s="488"/>
    </row>
    <row r="48" spans="1:10" s="1" customFormat="1" ht="15" customHeight="1" x14ac:dyDescent="0.2">
      <c r="A48" s="486"/>
      <c r="B48" s="18" t="s">
        <v>63</v>
      </c>
      <c r="C48" s="19">
        <f>'[2]F 4 TRI _ Granulo'!K35</f>
        <v>0.70490445859872564</v>
      </c>
      <c r="D48" s="20">
        <f>'[2]F 4 TRI _ Granulo'!H35</f>
        <v>0</v>
      </c>
      <c r="E48" s="20">
        <f>'[2]F 4 TRI _ Granulo'!E35</f>
        <v>0</v>
      </c>
      <c r="F48" s="20">
        <f t="shared" si="1"/>
        <v>0.70490445859872564</v>
      </c>
      <c r="G48" s="21">
        <f t="shared" si="0"/>
        <v>1.0379177121731411E-2</v>
      </c>
      <c r="H48" s="21">
        <f t="shared" si="2"/>
        <v>8.4006601027815445E-3</v>
      </c>
      <c r="I48" s="488"/>
      <c r="J48" s="488"/>
    </row>
    <row r="49" spans="1:10" s="1" customFormat="1" ht="15" customHeight="1" x14ac:dyDescent="0.2">
      <c r="A49" s="486"/>
      <c r="B49" s="18" t="s">
        <v>64</v>
      </c>
      <c r="C49" s="19">
        <f>'[2]F 4 TRI _ Granulo'!K36</f>
        <v>0</v>
      </c>
      <c r="D49" s="20">
        <f>'[2]F 4 TRI _ Granulo'!H36</f>
        <v>0</v>
      </c>
      <c r="E49" s="20">
        <f>'[2]F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488"/>
      <c r="J49" s="488"/>
    </row>
    <row r="50" spans="1:10" s="1" customFormat="1" ht="15" customHeight="1" x14ac:dyDescent="0.2">
      <c r="A50" s="486"/>
      <c r="B50" s="18" t="s">
        <v>65</v>
      </c>
      <c r="C50" s="19">
        <f>'[2]F 4 TRI _ Granulo'!K37</f>
        <v>0.15105095541401287</v>
      </c>
      <c r="D50" s="20">
        <f>'[2]F 4 TRI _ Granulo'!H37</f>
        <v>0</v>
      </c>
      <c r="E50" s="20">
        <f>'[2]F 4 TRI _ Granulo'!E37</f>
        <v>0</v>
      </c>
      <c r="F50" s="20">
        <f t="shared" si="1"/>
        <v>0.15105095541401287</v>
      </c>
      <c r="G50" s="21">
        <f t="shared" si="0"/>
        <v>2.2241093832281629E-3</v>
      </c>
      <c r="H50" s="21">
        <f t="shared" si="2"/>
        <v>1.8001414505960478E-3</v>
      </c>
      <c r="I50" s="488"/>
      <c r="J50" s="488"/>
    </row>
    <row r="51" spans="1:10" s="1" customFormat="1" ht="15" customHeight="1" x14ac:dyDescent="0.2">
      <c r="A51" s="487"/>
      <c r="B51" s="18" t="s">
        <v>66</v>
      </c>
      <c r="C51" s="19">
        <f>'[2]F 4 TRI _ Granulo'!K38</f>
        <v>0</v>
      </c>
      <c r="D51" s="20">
        <f>'[2]F 4 TRI _ Granulo'!H38</f>
        <v>0</v>
      </c>
      <c r="E51" s="20">
        <f>'[2]F 4 TRI _ Granulo'!E38</f>
        <v>0</v>
      </c>
      <c r="F51" s="20">
        <f t="shared" si="1"/>
        <v>0</v>
      </c>
      <c r="G51" s="21">
        <f t="shared" si="0"/>
        <v>0</v>
      </c>
      <c r="H51" s="21">
        <f t="shared" si="2"/>
        <v>0</v>
      </c>
      <c r="I51" s="488"/>
      <c r="J51" s="488"/>
    </row>
    <row r="52" spans="1:10" s="1" customFormat="1" ht="15" customHeight="1" x14ac:dyDescent="0.2">
      <c r="A52" s="247" t="s">
        <v>67</v>
      </c>
      <c r="B52" s="18" t="s">
        <v>68</v>
      </c>
      <c r="C52" s="19">
        <f>'[2]F 4 TRI _ Granulo'!K39</f>
        <v>0.25175159235668815</v>
      </c>
      <c r="D52" s="20">
        <f>'[2]F 4 TRI _ Granulo'!H39</f>
        <v>0.27</v>
      </c>
      <c r="E52" s="20">
        <f>'[2]F 4 TRI _ Granulo'!E39</f>
        <v>0</v>
      </c>
      <c r="F52" s="20">
        <f t="shared" si="1"/>
        <v>0.52175159235668822</v>
      </c>
      <c r="G52" s="21">
        <f t="shared" si="0"/>
        <v>7.6823917405496487E-3</v>
      </c>
      <c r="H52" s="21">
        <f>J52</f>
        <v>6.8760967898570833E-3</v>
      </c>
      <c r="I52" s="248">
        <f>G52</f>
        <v>7.6823917405496487E-3</v>
      </c>
      <c r="J52" s="248">
        <f>'[2]Calcul sous cat &gt;20'!N18/100</f>
        <v>6.8760967898570833E-3</v>
      </c>
    </row>
    <row r="53" spans="1:10" s="1" customFormat="1" ht="15" customHeight="1" x14ac:dyDescent="0.2">
      <c r="A53" s="485" t="s">
        <v>69</v>
      </c>
      <c r="B53" s="18" t="s">
        <v>121</v>
      </c>
      <c r="C53" s="19">
        <f>'[2]F 4 TRI _ Granulo'!K40</f>
        <v>0</v>
      </c>
      <c r="D53" s="20">
        <f>'[2]F 4 TRI _ Granulo'!H40</f>
        <v>0</v>
      </c>
      <c r="E53" s="20">
        <f>'[2]F 4 TRI _ Granulo'!E40</f>
        <v>0</v>
      </c>
      <c r="F53" s="20">
        <f t="shared" si="1"/>
        <v>0</v>
      </c>
      <c r="G53" s="21">
        <f t="shared" si="0"/>
        <v>0</v>
      </c>
      <c r="H53" s="175">
        <f>G53*J53/I53</f>
        <v>0</v>
      </c>
      <c r="I53" s="488">
        <f>SUM(G53:G62)</f>
        <v>7.9923509019061353E-3</v>
      </c>
      <c r="J53" s="488">
        <f>'[2]Calcul sous cat &gt;20'!N19/100</f>
        <v>6.3975951057706291E-3</v>
      </c>
    </row>
    <row r="54" spans="1:10" s="1" customFormat="1" ht="15" customHeight="1" x14ac:dyDescent="0.2">
      <c r="A54" s="486"/>
      <c r="B54" s="18" t="s">
        <v>70</v>
      </c>
      <c r="C54" s="19">
        <f>'[2]F 4 TRI _ Granulo'!K41</f>
        <v>0.40280254777070101</v>
      </c>
      <c r="D54" s="20">
        <f>'[2]F 4 TRI _ Granulo'!H41</f>
        <v>0</v>
      </c>
      <c r="E54" s="20">
        <f>'[2]F 4 TRI _ Granulo'!E41</f>
        <v>0</v>
      </c>
      <c r="F54" s="20">
        <f t="shared" si="1"/>
        <v>0.40280254777070101</v>
      </c>
      <c r="G54" s="21">
        <f t="shared" si="0"/>
        <v>5.9309583552751019E-3</v>
      </c>
      <c r="H54" s="249">
        <f>G54*J53/I53</f>
        <v>4.7475230519706023E-3</v>
      </c>
      <c r="I54" s="488"/>
      <c r="J54" s="488"/>
    </row>
    <row r="55" spans="1:10" s="1" customFormat="1" ht="15" customHeight="1" x14ac:dyDescent="0.2">
      <c r="A55" s="486"/>
      <c r="B55" s="18" t="s">
        <v>71</v>
      </c>
      <c r="C55" s="19">
        <f>'[2]F 4 TRI _ Granulo'!K42</f>
        <v>0</v>
      </c>
      <c r="D55" s="20">
        <f>'[2]F 4 TRI _ Granulo'!H42</f>
        <v>0.12</v>
      </c>
      <c r="E55" s="20">
        <f>'[2]F 4 TRI _ Granulo'!E42</f>
        <v>0</v>
      </c>
      <c r="F55" s="20">
        <f>SUM(C55:E55)</f>
        <v>0.12</v>
      </c>
      <c r="G55" s="21">
        <f t="shared" si="0"/>
        <v>1.7669078971123151E-3</v>
      </c>
      <c r="H55" s="249">
        <f>G55*J53/I53</f>
        <v>1.4143474746857378E-3</v>
      </c>
      <c r="I55" s="488"/>
      <c r="J55" s="488"/>
    </row>
    <row r="56" spans="1:10" s="1" customFormat="1" ht="15" customHeight="1" x14ac:dyDescent="0.2">
      <c r="A56" s="486"/>
      <c r="B56" s="18" t="s">
        <v>72</v>
      </c>
      <c r="C56" s="19">
        <f>'[2]F 4 TRI _ Granulo'!K43</f>
        <v>0</v>
      </c>
      <c r="D56" s="20">
        <f>'[2]F 4 TRI _ Granulo'!H43</f>
        <v>0</v>
      </c>
      <c r="E56" s="20">
        <f>'[2]F 4 TRI _ Granulo'!E43</f>
        <v>0</v>
      </c>
      <c r="F56" s="20">
        <f t="shared" si="1"/>
        <v>0</v>
      </c>
      <c r="G56" s="21">
        <f>F56/$F$64</f>
        <v>0</v>
      </c>
      <c r="H56" s="249">
        <f>G56*J53/I53</f>
        <v>0</v>
      </c>
      <c r="I56" s="488"/>
      <c r="J56" s="488"/>
    </row>
    <row r="57" spans="1:10" s="1" customFormat="1" ht="17.25" customHeight="1" x14ac:dyDescent="0.2">
      <c r="A57" s="486"/>
      <c r="B57" s="18" t="s">
        <v>122</v>
      </c>
      <c r="C57" s="19">
        <f>'[2]F 4 TRI _ Granulo'!K44</f>
        <v>0</v>
      </c>
      <c r="D57" s="20">
        <f>'[2]F 4 TRI _ Granulo'!H44</f>
        <v>0</v>
      </c>
      <c r="E57" s="20">
        <f>'[2]F 4 TRI _ Granulo'!E44</f>
        <v>0</v>
      </c>
      <c r="F57" s="20">
        <f t="shared" si="1"/>
        <v>0</v>
      </c>
      <c r="G57" s="21">
        <f t="shared" ref="G57:G62" si="3">F57/$F$64</f>
        <v>0</v>
      </c>
      <c r="H57" s="249">
        <f>G57*J53/I53</f>
        <v>0</v>
      </c>
      <c r="I57" s="488"/>
      <c r="J57" s="488"/>
    </row>
    <row r="58" spans="1:10" s="1" customFormat="1" ht="17.25" customHeight="1" x14ac:dyDescent="0.2">
      <c r="A58" s="486"/>
      <c r="B58" s="18" t="s">
        <v>123</v>
      </c>
      <c r="C58" s="19">
        <f>'[2]F 4 TRI _ Granulo'!K45</f>
        <v>0</v>
      </c>
      <c r="D58" s="20">
        <f>'[2]F 4 TRI _ Granulo'!H45</f>
        <v>0</v>
      </c>
      <c r="E58" s="20">
        <f>'[2]F 4 TRI _ Granulo'!E45</f>
        <v>0</v>
      </c>
      <c r="F58" s="20">
        <f t="shared" si="1"/>
        <v>0</v>
      </c>
      <c r="G58" s="21">
        <f t="shared" si="3"/>
        <v>0</v>
      </c>
      <c r="H58" s="249">
        <f>G58*J53/I53</f>
        <v>0</v>
      </c>
      <c r="I58" s="488"/>
      <c r="J58" s="488"/>
    </row>
    <row r="59" spans="1:10" s="1" customFormat="1" ht="25.5" customHeight="1" x14ac:dyDescent="0.2">
      <c r="A59" s="486"/>
      <c r="B59" s="18" t="s">
        <v>124</v>
      </c>
      <c r="C59" s="19">
        <f>'[2]F 4 TRI _ Granulo'!K46</f>
        <v>0</v>
      </c>
      <c r="D59" s="20">
        <f>'[2]F 4 TRI _ Granulo'!H46</f>
        <v>0</v>
      </c>
      <c r="E59" s="20">
        <f>'[2]F 4 TRI _ Granulo'!E46</f>
        <v>0</v>
      </c>
      <c r="F59" s="20">
        <f t="shared" si="1"/>
        <v>0</v>
      </c>
      <c r="G59" s="21">
        <f t="shared" si="3"/>
        <v>0</v>
      </c>
      <c r="H59" s="249">
        <f>G59*J53/I53</f>
        <v>0</v>
      </c>
      <c r="I59" s="488"/>
      <c r="J59" s="488"/>
    </row>
    <row r="60" spans="1:10" x14ac:dyDescent="0.25">
      <c r="A60" s="486"/>
      <c r="B60" s="18" t="s">
        <v>125</v>
      </c>
      <c r="C60" s="19">
        <f>'[2]F 4 TRI _ Granulo'!K47</f>
        <v>0</v>
      </c>
      <c r="D60" s="20">
        <f>'[2]F 4 TRI _ Granulo'!H47</f>
        <v>0</v>
      </c>
      <c r="E60" s="20">
        <f>'[2]F 4 TRI _ Granulo'!E47</f>
        <v>0</v>
      </c>
      <c r="F60" s="20">
        <f t="shared" si="1"/>
        <v>0</v>
      </c>
      <c r="G60" s="21">
        <f t="shared" si="3"/>
        <v>0</v>
      </c>
      <c r="H60" s="249">
        <f>G60*J53/I53</f>
        <v>0</v>
      </c>
      <c r="I60" s="488"/>
      <c r="J60" s="488"/>
    </row>
    <row r="61" spans="1:10" x14ac:dyDescent="0.25">
      <c r="A61" s="486"/>
      <c r="B61" s="18" t="s">
        <v>126</v>
      </c>
      <c r="C61" s="19">
        <f>'[2]F 4 TRI _ Granulo'!K48</f>
        <v>0</v>
      </c>
      <c r="D61" s="20">
        <f>'[2]F 4 TRI _ Granulo'!H48</f>
        <v>2.0000000000000018E-2</v>
      </c>
      <c r="E61" s="20">
        <f>'[2]F 4 TRI _ Granulo'!E48</f>
        <v>0</v>
      </c>
      <c r="F61" s="20">
        <f t="shared" si="1"/>
        <v>2.0000000000000018E-2</v>
      </c>
      <c r="G61" s="21">
        <f t="shared" si="3"/>
        <v>2.9448464951871943E-4</v>
      </c>
      <c r="H61" s="249">
        <f>G61*J53/I53</f>
        <v>2.3572457911428984E-4</v>
      </c>
      <c r="I61" s="488"/>
      <c r="J61" s="488"/>
    </row>
    <row r="62" spans="1:10" x14ac:dyDescent="0.25">
      <c r="A62" s="498"/>
      <c r="B62" s="18" t="s">
        <v>73</v>
      </c>
      <c r="C62" s="19">
        <f>'[2]F 4 TRI _ Granulo'!K49</f>
        <v>0</v>
      </c>
      <c r="D62" s="20">
        <f>'[2]F 4 TRI _ Granulo'!H49</f>
        <v>0</v>
      </c>
      <c r="E62" s="20">
        <f>'[2]F 4 TRI _ Granulo'!E49</f>
        <v>0</v>
      </c>
      <c r="F62" s="20">
        <f t="shared" si="1"/>
        <v>0</v>
      </c>
      <c r="G62" s="21">
        <f t="shared" si="3"/>
        <v>0</v>
      </c>
      <c r="H62" s="250">
        <f>G62*J53/I53</f>
        <v>0</v>
      </c>
      <c r="I62" s="488"/>
      <c r="J62" s="488"/>
    </row>
    <row r="63" spans="1:10" x14ac:dyDescent="0.25">
      <c r="A63" s="22" t="s">
        <v>74</v>
      </c>
      <c r="B63" s="23">
        <f>'[2]F 3 _ Criblage et Tri'!C27+'[2]F 3 _ Criblage et Tri'!D27</f>
        <v>6.080000000000001</v>
      </c>
      <c r="C63" s="19">
        <f>'[2]F 4 TRI _ Granulo'!K50</f>
        <v>1.0070063694267526</v>
      </c>
      <c r="D63" s="20">
        <f>'[2]F 4 TRI _ Granulo'!H50</f>
        <v>0.64000000000000012</v>
      </c>
      <c r="E63" s="20">
        <f>'[2]F 4 TRI _ Granulo'!E50</f>
        <v>0</v>
      </c>
      <c r="F63" s="19">
        <f>SUM(B63:E63)</f>
        <v>7.7270063694267535</v>
      </c>
      <c r="G63" s="21">
        <f t="shared" si="0"/>
        <v>0.11377423812647741</v>
      </c>
      <c r="H63" s="21">
        <f>J63</f>
        <v>5.5715197492690854E-2</v>
      </c>
      <c r="I63" s="24">
        <f>G63</f>
        <v>0.11377423812647741</v>
      </c>
      <c r="J63" s="24">
        <f>'[2]Calcul sous cat &gt;20'!N20/100</f>
        <v>5.5715197492690854E-2</v>
      </c>
    </row>
    <row r="64" spans="1:10" x14ac:dyDescent="0.25">
      <c r="A64" s="25" t="s">
        <v>25</v>
      </c>
      <c r="B64" s="90">
        <f>B63</f>
        <v>6.080000000000001</v>
      </c>
      <c r="C64" s="19">
        <f>SUM(C18:C63)</f>
        <v>32.375254777070076</v>
      </c>
      <c r="D64" s="19">
        <f>SUM(D18:D63)</f>
        <v>26.319999999999997</v>
      </c>
      <c r="E64" s="19">
        <f>SUM(E18:E63)</f>
        <v>3.1399999999999997</v>
      </c>
      <c r="F64" s="19">
        <f>SUM(B64:E64)</f>
        <v>67.915254777070075</v>
      </c>
      <c r="G64" s="21">
        <f t="shared" si="0"/>
        <v>1</v>
      </c>
      <c r="H64" s="21">
        <f>SUM(H18:H63)</f>
        <v>0.99999999999999967</v>
      </c>
      <c r="I64" s="24">
        <f>SUM(I18:I63)</f>
        <v>0.99999999999999978</v>
      </c>
      <c r="J64" s="24">
        <f>SUM(J18:J63)</f>
        <v>1</v>
      </c>
    </row>
    <row r="65" spans="1:10" ht="51.75" x14ac:dyDescent="0.25">
      <c r="A65" s="26" t="s">
        <v>75</v>
      </c>
      <c r="B65" s="235">
        <f>B64/$F$64</f>
        <v>8.9523333453690651E-2</v>
      </c>
      <c r="C65" s="235">
        <f>C64/$F$64</f>
        <v>0.47670077780523601</v>
      </c>
      <c r="D65" s="235">
        <f>D64/$F$64</f>
        <v>0.38754179876663442</v>
      </c>
      <c r="E65" s="235">
        <f>E64/$F$64</f>
        <v>4.6234089974438911E-2</v>
      </c>
      <c r="F65" s="235">
        <f>F64/$F$64</f>
        <v>1</v>
      </c>
      <c r="G65" s="1"/>
      <c r="H65" s="1"/>
      <c r="I65" s="1"/>
      <c r="J65" s="1"/>
    </row>
  </sheetData>
  <mergeCells count="40">
    <mergeCell ref="A31:A34"/>
    <mergeCell ref="I31:I34"/>
    <mergeCell ref="J31:J34"/>
    <mergeCell ref="A36:A37"/>
    <mergeCell ref="I36:I37"/>
    <mergeCell ref="J36:J37"/>
    <mergeCell ref="A38:A42"/>
    <mergeCell ref="I38:I42"/>
    <mergeCell ref="J38:J42"/>
    <mergeCell ref="A44:A45"/>
    <mergeCell ref="I44:I45"/>
    <mergeCell ref="J44:J45"/>
    <mergeCell ref="A46:A51"/>
    <mergeCell ref="I46:I51"/>
    <mergeCell ref="J46:J51"/>
    <mergeCell ref="A53:A62"/>
    <mergeCell ref="I53:I62"/>
    <mergeCell ref="J53:J62"/>
    <mergeCell ref="A28:A30"/>
    <mergeCell ref="I28:I30"/>
    <mergeCell ref="J28:J30"/>
    <mergeCell ref="A18:A22"/>
    <mergeCell ref="I18:I22"/>
    <mergeCell ref="J18:J22"/>
    <mergeCell ref="A23:A27"/>
    <mergeCell ref="I23:I27"/>
    <mergeCell ref="J23:J27"/>
    <mergeCell ref="D12:F12"/>
    <mergeCell ref="A14:J14"/>
    <mergeCell ref="G16:G17"/>
    <mergeCell ref="H16:H17"/>
    <mergeCell ref="I16:I17"/>
    <mergeCell ref="J16:J17"/>
    <mergeCell ref="B2:F2"/>
    <mergeCell ref="B11:C11"/>
    <mergeCell ref="D11:F11"/>
    <mergeCell ref="B3:F3"/>
    <mergeCell ref="A7:J7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U37"/>
  <sheetViews>
    <sheetView zoomScale="90" zoomScaleNormal="90" workbookViewId="0">
      <pane xSplit="3" ySplit="4" topLeftCell="D8" activePane="bottomRight" state="frozen"/>
      <selection activeCell="J15" sqref="J15"/>
      <selection pane="topRight" activeCell="J15" sqref="J15"/>
      <selection pane="bottomLeft" activeCell="J15" sqref="J15"/>
      <selection pane="bottomRight" activeCell="J15" sqref="J15"/>
    </sheetView>
  </sheetViews>
  <sheetFormatPr baseColWidth="10" defaultRowHeight="12.75" x14ac:dyDescent="0.2"/>
  <cols>
    <col min="1" max="1" width="23" style="286" bestFit="1" customWidth="1"/>
    <col min="2" max="2" width="12.5703125" style="286" hidden="1" customWidth="1"/>
    <col min="3" max="3" width="12.5703125" style="286" customWidth="1"/>
    <col min="4" max="10" width="15.140625" style="286" customWidth="1"/>
    <col min="11" max="11" width="15.140625" style="318" customWidth="1"/>
    <col min="12" max="13" width="11.42578125" style="287"/>
    <col min="14" max="14" width="12" style="287" bestFit="1" customWidth="1"/>
    <col min="15" max="18" width="11.42578125" style="287"/>
    <col min="19" max="19" width="4.5703125" style="288" customWidth="1"/>
    <col min="20" max="20" width="11.42578125" style="289"/>
    <col min="21" max="21" width="11.42578125" style="288"/>
    <col min="22" max="16384" width="11.42578125" style="312"/>
  </cols>
  <sheetData>
    <row r="1" spans="1:20" ht="31.5" customHeight="1" x14ac:dyDescent="0.2">
      <c r="D1" s="579" t="s">
        <v>199</v>
      </c>
      <c r="E1" s="579"/>
      <c r="F1" s="579"/>
      <c r="G1" s="579"/>
      <c r="H1" s="579" t="s">
        <v>199</v>
      </c>
      <c r="I1" s="579"/>
      <c r="J1" s="579"/>
      <c r="K1" s="579"/>
    </row>
    <row r="2" spans="1:20" ht="20.25" customHeight="1" x14ac:dyDescent="0.2">
      <c r="D2" s="580" t="str">
        <f>' SYCTOM Catégories'!D2:G2</f>
        <v>Campagne : Printemps 2015</v>
      </c>
      <c r="E2" s="580"/>
      <c r="F2" s="580"/>
      <c r="G2" s="580"/>
      <c r="H2" s="580" t="str">
        <f>D2</f>
        <v>Campagne : Printemps 2015</v>
      </c>
      <c r="I2" s="580"/>
      <c r="J2" s="580"/>
      <c r="K2" s="580"/>
    </row>
    <row r="3" spans="1:20" ht="20.25" customHeight="1" x14ac:dyDescent="0.2">
      <c r="A3" s="290"/>
      <c r="B3" s="291"/>
      <c r="C3" s="291"/>
      <c r="D3" s="581" t="s">
        <v>139</v>
      </c>
      <c r="E3" s="581"/>
      <c r="F3" s="581"/>
      <c r="G3" s="581"/>
      <c r="H3" s="581" t="s">
        <v>139</v>
      </c>
      <c r="I3" s="581"/>
      <c r="J3" s="581"/>
      <c r="K3" s="581"/>
    </row>
    <row r="4" spans="1:20" ht="24.95" customHeight="1" x14ac:dyDescent="0.2">
      <c r="A4" s="292" t="s">
        <v>140</v>
      </c>
      <c r="B4" s="293" t="s">
        <v>141</v>
      </c>
      <c r="C4" s="294" t="s">
        <v>142</v>
      </c>
      <c r="D4" s="295" t="s">
        <v>143</v>
      </c>
      <c r="E4" s="295" t="s">
        <v>200</v>
      </c>
      <c r="F4" s="295" t="s">
        <v>145</v>
      </c>
      <c r="G4" s="295" t="s">
        <v>146</v>
      </c>
      <c r="H4" s="295" t="s">
        <v>201</v>
      </c>
      <c r="I4" s="295" t="s">
        <v>202</v>
      </c>
      <c r="J4" s="295" t="s">
        <v>149</v>
      </c>
      <c r="K4" s="295" t="s">
        <v>150</v>
      </c>
      <c r="L4" s="296" t="s">
        <v>151</v>
      </c>
      <c r="M4" s="296" t="s">
        <v>152</v>
      </c>
      <c r="N4" s="296" t="s">
        <v>153</v>
      </c>
      <c r="O4" s="296" t="s">
        <v>154</v>
      </c>
      <c r="P4" s="296" t="s">
        <v>203</v>
      </c>
      <c r="Q4" s="296" t="s">
        <v>155</v>
      </c>
      <c r="R4" s="296" t="s">
        <v>156</v>
      </c>
    </row>
    <row r="5" spans="1:20" ht="24.95" customHeight="1" x14ac:dyDescent="0.2">
      <c r="A5" s="297" t="s">
        <v>160</v>
      </c>
      <c r="B5" s="298" t="s">
        <v>161</v>
      </c>
      <c r="C5" s="299" t="s">
        <v>162</v>
      </c>
      <c r="D5" s="300">
        <v>92</v>
      </c>
      <c r="E5" s="300">
        <v>80.5</v>
      </c>
      <c r="F5" s="301">
        <v>83.6</v>
      </c>
      <c r="G5" s="300">
        <v>85.4</v>
      </c>
      <c r="H5" s="300">
        <v>83.4</v>
      </c>
      <c r="I5" s="300">
        <v>86</v>
      </c>
      <c r="J5" s="301">
        <v>85.8</v>
      </c>
      <c r="K5" s="300">
        <v>85.1</v>
      </c>
      <c r="L5" s="302">
        <v>86.25</v>
      </c>
      <c r="M5" s="302">
        <v>84.5</v>
      </c>
      <c r="N5" s="302">
        <v>84.7</v>
      </c>
      <c r="O5" s="302">
        <v>85.449999999999989</v>
      </c>
      <c r="P5" s="302">
        <v>85.224999999999994</v>
      </c>
      <c r="Q5" s="302">
        <v>86.2</v>
      </c>
      <c r="R5" s="302">
        <v>84.25</v>
      </c>
    </row>
    <row r="6" spans="1:20" ht="24.95" customHeight="1" x14ac:dyDescent="0.2">
      <c r="A6" s="297" t="s">
        <v>163</v>
      </c>
      <c r="B6" s="298" t="s">
        <v>164</v>
      </c>
      <c r="C6" s="299" t="s">
        <v>162</v>
      </c>
      <c r="D6" s="300">
        <v>1.6</v>
      </c>
      <c r="E6" s="300">
        <v>1.56</v>
      </c>
      <c r="F6" s="300">
        <v>0.42</v>
      </c>
      <c r="G6" s="300">
        <v>0.56000000000000005</v>
      </c>
      <c r="H6" s="300">
        <v>1.02</v>
      </c>
      <c r="I6" s="300">
        <v>1.58</v>
      </c>
      <c r="J6" s="300">
        <v>0.9</v>
      </c>
      <c r="K6" s="300">
        <v>0.72</v>
      </c>
      <c r="L6" s="303">
        <v>1.58</v>
      </c>
      <c r="M6" s="303">
        <v>0.49</v>
      </c>
      <c r="N6" s="303">
        <v>1.3</v>
      </c>
      <c r="O6" s="303">
        <v>0.81</v>
      </c>
      <c r="P6" s="302">
        <v>1.0450000000000002</v>
      </c>
      <c r="Q6" s="303">
        <v>0.98499999999999999</v>
      </c>
      <c r="R6" s="303">
        <v>1.105</v>
      </c>
    </row>
    <row r="7" spans="1:20" ht="24.95" customHeight="1" x14ac:dyDescent="0.2">
      <c r="A7" s="297" t="s">
        <v>165</v>
      </c>
      <c r="B7" s="298" t="s">
        <v>166</v>
      </c>
      <c r="C7" s="299" t="s">
        <v>167</v>
      </c>
      <c r="D7" s="304">
        <v>1896.5</v>
      </c>
      <c r="E7" s="304">
        <v>2324</v>
      </c>
      <c r="F7" s="304">
        <v>683</v>
      </c>
      <c r="G7" s="304">
        <v>712</v>
      </c>
      <c r="H7" s="304">
        <v>2123.9</v>
      </c>
      <c r="I7" s="304">
        <v>3475.5</v>
      </c>
      <c r="J7" s="304">
        <v>1368.5</v>
      </c>
      <c r="K7" s="304">
        <v>1194.5999999999999</v>
      </c>
      <c r="L7" s="305">
        <v>2110.25</v>
      </c>
      <c r="M7" s="305">
        <v>697.5</v>
      </c>
      <c r="N7" s="305">
        <v>2799.7</v>
      </c>
      <c r="O7" s="305">
        <v>1281.55</v>
      </c>
      <c r="P7" s="305">
        <v>1722.25</v>
      </c>
      <c r="Q7" s="305">
        <v>1517.9749999999999</v>
      </c>
      <c r="R7" s="305">
        <v>1926.5250000000001</v>
      </c>
    </row>
    <row r="8" spans="1:20" ht="24.95" customHeight="1" x14ac:dyDescent="0.2">
      <c r="A8" s="297" t="s">
        <v>168</v>
      </c>
      <c r="B8" s="298" t="s">
        <v>166</v>
      </c>
      <c r="C8" s="299" t="s">
        <v>167</v>
      </c>
      <c r="D8" s="304">
        <v>4797.7</v>
      </c>
      <c r="E8" s="304">
        <v>3942</v>
      </c>
      <c r="F8" s="304">
        <v>1596.1</v>
      </c>
      <c r="G8" s="304">
        <v>2089.4</v>
      </c>
      <c r="H8" s="304">
        <v>3243.5</v>
      </c>
      <c r="I8" s="304">
        <v>4133.6000000000004</v>
      </c>
      <c r="J8" s="304">
        <v>3198.9</v>
      </c>
      <c r="K8" s="304">
        <v>2809.8</v>
      </c>
      <c r="L8" s="305">
        <v>4369.8500000000004</v>
      </c>
      <c r="M8" s="305">
        <v>1842.75</v>
      </c>
      <c r="N8" s="305">
        <v>3688.55</v>
      </c>
      <c r="O8" s="305">
        <v>3004.3500000000004</v>
      </c>
      <c r="P8" s="305">
        <v>3226.3750000000005</v>
      </c>
      <c r="Q8" s="305">
        <v>3209.0499999999997</v>
      </c>
      <c r="R8" s="305">
        <v>3243.7</v>
      </c>
    </row>
    <row r="9" spans="1:20" ht="24.95" customHeight="1" x14ac:dyDescent="0.2">
      <c r="A9" s="297" t="s">
        <v>169</v>
      </c>
      <c r="B9" s="298" t="s">
        <v>170</v>
      </c>
      <c r="C9" s="299" t="s">
        <v>162</v>
      </c>
      <c r="D9" s="300">
        <v>42.4</v>
      </c>
      <c r="E9" s="300">
        <v>36</v>
      </c>
      <c r="F9" s="300">
        <v>38.5</v>
      </c>
      <c r="G9" s="300">
        <v>37.5</v>
      </c>
      <c r="H9" s="300">
        <v>37.9</v>
      </c>
      <c r="I9" s="300">
        <v>39.799999999999997</v>
      </c>
      <c r="J9" s="300">
        <v>39</v>
      </c>
      <c r="K9" s="300">
        <v>37.9</v>
      </c>
      <c r="L9" s="302">
        <v>39.200000000000003</v>
      </c>
      <c r="M9" s="302">
        <v>38</v>
      </c>
      <c r="N9" s="302">
        <v>38.849999999999994</v>
      </c>
      <c r="O9" s="302">
        <v>38.450000000000003</v>
      </c>
      <c r="P9" s="302">
        <v>38.625</v>
      </c>
      <c r="Q9" s="302">
        <v>39.450000000000003</v>
      </c>
      <c r="R9" s="302">
        <v>37.799999999999997</v>
      </c>
    </row>
    <row r="10" spans="1:20" ht="24.95" hidden="1" customHeight="1" x14ac:dyDescent="0.2">
      <c r="A10" s="297" t="s">
        <v>204</v>
      </c>
      <c r="B10" s="575" t="s">
        <v>205</v>
      </c>
      <c r="C10" s="299" t="s">
        <v>162</v>
      </c>
      <c r="D10" s="306"/>
      <c r="E10" s="306"/>
      <c r="F10" s="306"/>
      <c r="G10" s="306"/>
      <c r="H10" s="306"/>
      <c r="I10" s="306"/>
      <c r="J10" s="306"/>
      <c r="K10" s="307"/>
      <c r="L10" s="302" t="e">
        <v>#DIV/0!</v>
      </c>
      <c r="M10" s="302" t="e">
        <v>#DIV/0!</v>
      </c>
      <c r="N10" s="302" t="e">
        <v>#DIV/0!</v>
      </c>
      <c r="O10" s="302" t="e">
        <v>#DIV/0!</v>
      </c>
      <c r="P10" s="302" t="e">
        <v>#DIV/0!</v>
      </c>
      <c r="Q10" s="302" t="e">
        <v>#DIV/0!</v>
      </c>
      <c r="R10" s="302" t="e">
        <v>#DIV/0!</v>
      </c>
    </row>
    <row r="11" spans="1:20" ht="24.95" hidden="1" customHeight="1" x14ac:dyDescent="0.2">
      <c r="A11" s="297" t="s">
        <v>206</v>
      </c>
      <c r="B11" s="575"/>
      <c r="C11" s="299" t="s">
        <v>162</v>
      </c>
      <c r="D11" s="306"/>
      <c r="E11" s="306"/>
      <c r="F11" s="306"/>
      <c r="G11" s="306"/>
      <c r="H11" s="306"/>
      <c r="I11" s="306"/>
      <c r="J11" s="306"/>
      <c r="K11" s="307"/>
      <c r="L11" s="302" t="e">
        <v>#DIV/0!</v>
      </c>
      <c r="M11" s="302" t="e">
        <v>#DIV/0!</v>
      </c>
      <c r="N11" s="302" t="e">
        <v>#DIV/0!</v>
      </c>
      <c r="O11" s="302" t="e">
        <v>#DIV/0!</v>
      </c>
      <c r="P11" s="302" t="e">
        <v>#DIV/0!</v>
      </c>
      <c r="Q11" s="302" t="e">
        <v>#DIV/0!</v>
      </c>
      <c r="R11" s="302" t="e">
        <v>#DIV/0!</v>
      </c>
    </row>
    <row r="12" spans="1:20" ht="24.95" hidden="1" customHeight="1" x14ac:dyDescent="0.2">
      <c r="A12" s="297" t="s">
        <v>207</v>
      </c>
      <c r="B12" s="575"/>
      <c r="C12" s="299" t="s">
        <v>162</v>
      </c>
      <c r="D12" s="306"/>
      <c r="E12" s="306"/>
      <c r="F12" s="306"/>
      <c r="G12" s="306"/>
      <c r="H12" s="306"/>
      <c r="I12" s="306"/>
      <c r="J12" s="306"/>
      <c r="K12" s="307"/>
      <c r="L12" s="302" t="e">
        <v>#DIV/0!</v>
      </c>
      <c r="M12" s="302" t="e">
        <v>#DIV/0!</v>
      </c>
      <c r="N12" s="302" t="e">
        <v>#DIV/0!</v>
      </c>
      <c r="O12" s="302" t="e">
        <v>#DIV/0!</v>
      </c>
      <c r="P12" s="302" t="e">
        <v>#DIV/0!</v>
      </c>
      <c r="Q12" s="302" t="e">
        <v>#DIV/0!</v>
      </c>
      <c r="R12" s="302" t="e">
        <v>#DIV/0!</v>
      </c>
    </row>
    <row r="13" spans="1:20" ht="24.95" customHeight="1" x14ac:dyDescent="0.2">
      <c r="A13" s="297" t="s">
        <v>171</v>
      </c>
      <c r="B13" s="575"/>
      <c r="C13" s="299" t="s">
        <v>162</v>
      </c>
      <c r="D13" s="301">
        <v>1.51</v>
      </c>
      <c r="E13" s="301">
        <v>1.46</v>
      </c>
      <c r="F13" s="301">
        <v>0.4</v>
      </c>
      <c r="G13" s="301">
        <v>0.51</v>
      </c>
      <c r="H13" s="301">
        <v>0.95</v>
      </c>
      <c r="I13" s="301">
        <v>1.47</v>
      </c>
      <c r="J13" s="301">
        <v>0.83</v>
      </c>
      <c r="K13" s="301">
        <v>0.67</v>
      </c>
      <c r="L13" s="308">
        <v>1.4849999999999999</v>
      </c>
      <c r="M13" s="308">
        <v>0.45500000000000002</v>
      </c>
      <c r="N13" s="308">
        <v>1.21</v>
      </c>
      <c r="O13" s="308">
        <v>0.75</v>
      </c>
      <c r="P13" s="308">
        <v>0.97499999999999998</v>
      </c>
      <c r="Q13" s="308">
        <v>0.9225000000000001</v>
      </c>
      <c r="R13" s="308">
        <v>1.0275000000000001</v>
      </c>
    </row>
    <row r="14" spans="1:20" ht="24" customHeight="1" x14ac:dyDescent="0.2">
      <c r="A14" s="297" t="s">
        <v>173</v>
      </c>
      <c r="B14" s="298" t="s">
        <v>172</v>
      </c>
      <c r="C14" s="309" t="s">
        <v>174</v>
      </c>
      <c r="D14" s="310">
        <f>D9/D13</f>
        <v>28.079470198675494</v>
      </c>
      <c r="E14" s="310">
        <f t="shared" ref="E14" si="0">E9/E13</f>
        <v>24.657534246575342</v>
      </c>
      <c r="F14" s="310">
        <v>96.25</v>
      </c>
      <c r="G14" s="310">
        <v>73.529411764705884</v>
      </c>
      <c r="H14" s="310">
        <v>39.89473684210526</v>
      </c>
      <c r="I14" s="310">
        <v>27.074829931972786</v>
      </c>
      <c r="J14" s="310">
        <v>46.987951807228917</v>
      </c>
      <c r="K14" s="310">
        <v>56.567164179104473</v>
      </c>
      <c r="L14" s="302">
        <v>26.368502222625416</v>
      </c>
      <c r="M14" s="302">
        <v>84.889705882352942</v>
      </c>
      <c r="N14" s="302">
        <v>33.484783387039023</v>
      </c>
      <c r="O14" s="302">
        <v>51.777557993166695</v>
      </c>
      <c r="P14" s="302">
        <v>49.130137371296016</v>
      </c>
      <c r="Q14" s="302">
        <v>52.803039712002416</v>
      </c>
      <c r="R14" s="302">
        <v>45.457235030589622</v>
      </c>
      <c r="T14" s="289">
        <v>8</v>
      </c>
    </row>
    <row r="15" spans="1:20" ht="24" customHeight="1" x14ac:dyDescent="0.2">
      <c r="A15" s="297" t="s">
        <v>208</v>
      </c>
      <c r="B15" s="311"/>
      <c r="C15" s="309"/>
      <c r="D15" s="310">
        <f>D30/D6</f>
        <v>29.75</v>
      </c>
      <c r="E15" s="310">
        <f t="shared" ref="E15" si="1">E30/E6</f>
        <v>30.833333333333332</v>
      </c>
      <c r="F15" s="310">
        <v>100.95238095238095</v>
      </c>
      <c r="G15" s="310">
        <v>74.999999999999986</v>
      </c>
      <c r="H15" s="310">
        <v>41.17647058823529</v>
      </c>
      <c r="I15" s="310">
        <v>28.227848101265824</v>
      </c>
      <c r="J15" s="310">
        <v>49.222222222222214</v>
      </c>
      <c r="K15" s="310">
        <v>60.000000000000007</v>
      </c>
      <c r="L15" s="302">
        <v>30.291666666666664</v>
      </c>
      <c r="M15" s="302">
        <v>87.976190476190467</v>
      </c>
      <c r="N15" s="302">
        <v>34.702159344750555</v>
      </c>
      <c r="O15" s="302">
        <v>54.611111111111114</v>
      </c>
      <c r="P15" s="302">
        <v>51.895281899679702</v>
      </c>
      <c r="Q15" s="302">
        <v>55.275268440709624</v>
      </c>
      <c r="R15" s="302">
        <v>48.515295358649787</v>
      </c>
    </row>
    <row r="16" spans="1:20" ht="24.95" customHeight="1" x14ac:dyDescent="0.2">
      <c r="A16" s="297" t="s">
        <v>175</v>
      </c>
      <c r="B16" s="576" t="s">
        <v>176</v>
      </c>
      <c r="C16" s="299" t="s">
        <v>167</v>
      </c>
      <c r="D16" s="304">
        <v>790</v>
      </c>
      <c r="E16" s="304">
        <v>605</v>
      </c>
      <c r="F16" s="304">
        <v>506</v>
      </c>
      <c r="G16" s="304">
        <v>601</v>
      </c>
      <c r="H16" s="304">
        <v>786</v>
      </c>
      <c r="I16" s="304">
        <v>921</v>
      </c>
      <c r="J16" s="304">
        <v>445</v>
      </c>
      <c r="K16" s="304">
        <v>500</v>
      </c>
      <c r="L16" s="305">
        <v>697.5</v>
      </c>
      <c r="M16" s="305">
        <v>553.5</v>
      </c>
      <c r="N16" s="305">
        <v>853.5</v>
      </c>
      <c r="O16" s="305">
        <v>472.5</v>
      </c>
      <c r="P16" s="305">
        <v>644.25</v>
      </c>
      <c r="Q16" s="305">
        <v>631.75</v>
      </c>
      <c r="R16" s="305">
        <v>656.75</v>
      </c>
    </row>
    <row r="17" spans="1:21" ht="24.75" customHeight="1" x14ac:dyDescent="0.2">
      <c r="A17" s="297" t="s">
        <v>177</v>
      </c>
      <c r="B17" s="577"/>
      <c r="C17" s="299" t="s">
        <v>167</v>
      </c>
      <c r="D17" s="304">
        <v>5494</v>
      </c>
      <c r="E17" s="304">
        <v>3469</v>
      </c>
      <c r="F17" s="304">
        <v>1873</v>
      </c>
      <c r="G17" s="304">
        <v>2946</v>
      </c>
      <c r="H17" s="304">
        <v>4132</v>
      </c>
      <c r="I17" s="304">
        <v>4446</v>
      </c>
      <c r="J17" s="304">
        <v>3361</v>
      </c>
      <c r="K17" s="304">
        <v>2754</v>
      </c>
      <c r="L17" s="305">
        <v>4481.5</v>
      </c>
      <c r="M17" s="305">
        <v>2409.5</v>
      </c>
      <c r="N17" s="305">
        <v>4289</v>
      </c>
      <c r="O17" s="305">
        <v>3057.5</v>
      </c>
      <c r="P17" s="305">
        <v>3559.375</v>
      </c>
      <c r="Q17" s="305">
        <v>3715</v>
      </c>
      <c r="R17" s="305">
        <v>3403.75</v>
      </c>
    </row>
    <row r="18" spans="1:21" ht="24.75" customHeight="1" x14ac:dyDescent="0.2">
      <c r="A18" s="297" t="s">
        <v>178</v>
      </c>
      <c r="B18" s="578"/>
      <c r="C18" s="299" t="s">
        <v>167</v>
      </c>
      <c r="D18" s="300">
        <v>67</v>
      </c>
      <c r="E18" s="300">
        <v>71</v>
      </c>
      <c r="F18" s="300">
        <v>79</v>
      </c>
      <c r="G18" s="300">
        <v>92</v>
      </c>
      <c r="H18" s="300">
        <v>65</v>
      </c>
      <c r="I18" s="300">
        <v>48</v>
      </c>
      <c r="J18" s="300">
        <v>48</v>
      </c>
      <c r="K18" s="300">
        <v>77</v>
      </c>
      <c r="L18" s="302">
        <v>69</v>
      </c>
      <c r="M18" s="302">
        <v>85.5</v>
      </c>
      <c r="N18" s="302">
        <v>56.5</v>
      </c>
      <c r="O18" s="302">
        <v>62.5</v>
      </c>
      <c r="P18" s="302">
        <v>68.375</v>
      </c>
      <c r="Q18" s="302">
        <v>64.75</v>
      </c>
      <c r="R18" s="302">
        <v>72</v>
      </c>
    </row>
    <row r="19" spans="1:21" ht="24.75" customHeight="1" x14ac:dyDescent="0.2">
      <c r="A19" s="297" t="s">
        <v>179</v>
      </c>
      <c r="B19" s="298" t="s">
        <v>166</v>
      </c>
      <c r="C19" s="299" t="s">
        <v>167</v>
      </c>
      <c r="D19" s="300">
        <v>12</v>
      </c>
      <c r="E19" s="300">
        <v>3.7</v>
      </c>
      <c r="F19" s="300">
        <v>8.3000000000000007</v>
      </c>
      <c r="G19" s="300">
        <v>5.2</v>
      </c>
      <c r="H19" s="300">
        <v>10.8</v>
      </c>
      <c r="I19" s="300">
        <v>9.8000000000000007</v>
      </c>
      <c r="J19" s="300">
        <v>5.8</v>
      </c>
      <c r="K19" s="300">
        <v>4.9000000000000004</v>
      </c>
      <c r="L19" s="302">
        <v>7.85</v>
      </c>
      <c r="M19" s="302">
        <v>6.75</v>
      </c>
      <c r="N19" s="302">
        <v>10.3</v>
      </c>
      <c r="O19" s="302">
        <v>5.35</v>
      </c>
      <c r="P19" s="302">
        <v>7.5624999999999991</v>
      </c>
      <c r="Q19" s="302">
        <v>9.2249999999999996</v>
      </c>
      <c r="R19" s="302">
        <v>5.9</v>
      </c>
      <c r="T19" s="289">
        <v>106</v>
      </c>
    </row>
    <row r="20" spans="1:21" ht="24.75" customHeight="1" x14ac:dyDescent="0.2">
      <c r="A20" s="297" t="s">
        <v>180</v>
      </c>
      <c r="B20" s="298" t="s">
        <v>166</v>
      </c>
      <c r="C20" s="299" t="s">
        <v>167</v>
      </c>
      <c r="D20" s="301">
        <v>105</v>
      </c>
      <c r="E20" s="300">
        <v>22.9</v>
      </c>
      <c r="F20" s="300">
        <v>32.799999999999997</v>
      </c>
      <c r="G20" s="300">
        <v>27</v>
      </c>
      <c r="H20" s="300">
        <v>22.4</v>
      </c>
      <c r="I20" s="300">
        <v>23.3</v>
      </c>
      <c r="J20" s="300">
        <v>24.6</v>
      </c>
      <c r="K20" s="300">
        <v>21</v>
      </c>
      <c r="L20" s="302">
        <v>124.8</v>
      </c>
      <c r="M20" s="302">
        <v>29.9</v>
      </c>
      <c r="N20" s="302">
        <v>22.85</v>
      </c>
      <c r="O20" s="302">
        <v>22.8</v>
      </c>
      <c r="P20" s="302">
        <v>50.087499999999999</v>
      </c>
      <c r="Q20" s="302">
        <v>76.625</v>
      </c>
      <c r="R20" s="302">
        <v>23.55</v>
      </c>
      <c r="T20" s="289">
        <v>176</v>
      </c>
    </row>
    <row r="21" spans="1:21" ht="24.75" customHeight="1" x14ac:dyDescent="0.2">
      <c r="A21" s="297" t="s">
        <v>181</v>
      </c>
      <c r="B21" s="298" t="s">
        <v>166</v>
      </c>
      <c r="C21" s="299" t="s">
        <v>167</v>
      </c>
      <c r="D21" s="313" t="s">
        <v>209</v>
      </c>
      <c r="E21" s="300" t="s">
        <v>209</v>
      </c>
      <c r="F21" s="313" t="s">
        <v>209</v>
      </c>
      <c r="G21" s="300">
        <v>0.2</v>
      </c>
      <c r="H21" s="313" t="s">
        <v>209</v>
      </c>
      <c r="I21" s="313" t="s">
        <v>209</v>
      </c>
      <c r="J21" s="300" t="s">
        <v>209</v>
      </c>
      <c r="K21" s="313" t="s">
        <v>209</v>
      </c>
      <c r="L21" s="302" t="s">
        <v>209</v>
      </c>
      <c r="M21" s="303">
        <v>0.125</v>
      </c>
      <c r="N21" s="302" t="s">
        <v>209</v>
      </c>
      <c r="O21" s="302" t="s">
        <v>209</v>
      </c>
      <c r="P21" s="303">
        <v>6.8750000000000006E-2</v>
      </c>
      <c r="Q21" s="302" t="s">
        <v>209</v>
      </c>
      <c r="R21" s="303">
        <v>8.7500000000000008E-2</v>
      </c>
      <c r="T21" s="289">
        <v>1.8</v>
      </c>
      <c r="U21" s="288" t="s">
        <v>210</v>
      </c>
    </row>
    <row r="22" spans="1:21" ht="24.75" customHeight="1" x14ac:dyDescent="0.2">
      <c r="A22" s="297" t="s">
        <v>182</v>
      </c>
      <c r="B22" s="298" t="s">
        <v>166</v>
      </c>
      <c r="C22" s="299" t="s">
        <v>167</v>
      </c>
      <c r="D22" s="300">
        <v>3</v>
      </c>
      <c r="E22" s="300">
        <v>10.1</v>
      </c>
      <c r="F22" s="300">
        <v>3.7</v>
      </c>
      <c r="G22" s="300">
        <v>4.3</v>
      </c>
      <c r="H22" s="300">
        <v>10.199999999999999</v>
      </c>
      <c r="I22" s="300">
        <v>8.1</v>
      </c>
      <c r="J22" s="300">
        <v>8.6999999999999993</v>
      </c>
      <c r="K22" s="300">
        <v>5.9</v>
      </c>
      <c r="L22" s="302">
        <v>6.55</v>
      </c>
      <c r="M22" s="302">
        <v>4</v>
      </c>
      <c r="N22" s="302">
        <v>9.1499999999999986</v>
      </c>
      <c r="O22" s="302">
        <v>7.3</v>
      </c>
      <c r="P22" s="302">
        <v>6.7499999999999991</v>
      </c>
      <c r="Q22" s="302">
        <v>6.3999999999999995</v>
      </c>
      <c r="R22" s="302">
        <v>7.1</v>
      </c>
      <c r="T22" s="289">
        <v>70.599999999999994</v>
      </c>
    </row>
    <row r="23" spans="1:21" ht="24.75" customHeight="1" x14ac:dyDescent="0.2">
      <c r="A23" s="297" t="s">
        <v>183</v>
      </c>
      <c r="B23" s="298" t="s">
        <v>166</v>
      </c>
      <c r="C23" s="299" t="s">
        <v>167</v>
      </c>
      <c r="D23" s="300">
        <v>1.6</v>
      </c>
      <c r="E23" s="300">
        <v>4.3</v>
      </c>
      <c r="F23" s="300">
        <v>1.9</v>
      </c>
      <c r="G23" s="300">
        <v>5.4</v>
      </c>
      <c r="H23" s="300">
        <v>4.5999999999999996</v>
      </c>
      <c r="I23" s="300">
        <v>3.1</v>
      </c>
      <c r="J23" s="300">
        <v>4.7</v>
      </c>
      <c r="K23" s="300">
        <v>3.1</v>
      </c>
      <c r="L23" s="302">
        <v>2.95</v>
      </c>
      <c r="M23" s="302">
        <v>3.6500000000000004</v>
      </c>
      <c r="N23" s="302">
        <v>3.8499999999999996</v>
      </c>
      <c r="O23" s="302">
        <v>3.9000000000000004</v>
      </c>
      <c r="P23" s="302">
        <v>3.5875000000000004</v>
      </c>
      <c r="Q23" s="302">
        <v>3.2</v>
      </c>
      <c r="R23" s="302">
        <v>3.9749999999999996</v>
      </c>
      <c r="T23" s="289">
        <v>35.299999999999997</v>
      </c>
    </row>
    <row r="24" spans="1:21" ht="24.75" customHeight="1" x14ac:dyDescent="0.2">
      <c r="A24" s="297" t="s">
        <v>184</v>
      </c>
      <c r="B24" s="298" t="s">
        <v>166</v>
      </c>
      <c r="C24" s="299" t="s">
        <v>167</v>
      </c>
      <c r="D24" s="300">
        <v>187.2</v>
      </c>
      <c r="E24" s="300">
        <v>41.8</v>
      </c>
      <c r="F24" s="300">
        <v>73.400000000000006</v>
      </c>
      <c r="G24" s="300">
        <v>91</v>
      </c>
      <c r="H24" s="300">
        <v>52.9</v>
      </c>
      <c r="I24" s="300">
        <v>67</v>
      </c>
      <c r="J24" s="300">
        <v>102.2</v>
      </c>
      <c r="K24" s="300">
        <v>42.4</v>
      </c>
      <c r="L24" s="302">
        <v>114.5</v>
      </c>
      <c r="M24" s="302">
        <v>82.2</v>
      </c>
      <c r="N24" s="302">
        <v>59.95</v>
      </c>
      <c r="O24" s="302">
        <v>72.3</v>
      </c>
      <c r="P24" s="302">
        <v>82.237499999999997</v>
      </c>
      <c r="Q24" s="302">
        <v>103.925</v>
      </c>
      <c r="R24" s="302">
        <v>60.550000000000004</v>
      </c>
      <c r="T24" s="289">
        <v>353</v>
      </c>
    </row>
    <row r="25" spans="1:21" ht="24.75" customHeight="1" x14ac:dyDescent="0.2">
      <c r="A25" s="297" t="s">
        <v>185</v>
      </c>
      <c r="B25" s="298" t="s">
        <v>186</v>
      </c>
      <c r="C25" s="299" t="s">
        <v>167</v>
      </c>
      <c r="D25" s="300">
        <v>0.1</v>
      </c>
      <c r="E25" s="300">
        <v>0.1</v>
      </c>
      <c r="F25" s="301">
        <v>0.1</v>
      </c>
      <c r="G25" s="301">
        <v>0.1</v>
      </c>
      <c r="H25" s="301">
        <v>0.1</v>
      </c>
      <c r="I25" s="301">
        <v>0.1</v>
      </c>
      <c r="J25" s="301">
        <v>0.1</v>
      </c>
      <c r="K25" s="301">
        <v>0.1</v>
      </c>
      <c r="L25" s="302">
        <v>0.1</v>
      </c>
      <c r="M25" s="302">
        <v>0.1</v>
      </c>
      <c r="N25" s="302">
        <v>0.1</v>
      </c>
      <c r="O25" s="302">
        <v>0.1</v>
      </c>
      <c r="P25" s="302">
        <v>9.9999999999999992E-2</v>
      </c>
      <c r="Q25" s="302">
        <v>0.1</v>
      </c>
      <c r="R25" s="302">
        <v>0.1</v>
      </c>
      <c r="T25" s="289">
        <v>1.2</v>
      </c>
      <c r="U25" s="288" t="s">
        <v>210</v>
      </c>
    </row>
    <row r="26" spans="1:21" ht="24.75" customHeight="1" x14ac:dyDescent="0.2">
      <c r="A26" s="297" t="s">
        <v>187</v>
      </c>
      <c r="B26" s="298" t="s">
        <v>166</v>
      </c>
      <c r="C26" s="299" t="s">
        <v>167</v>
      </c>
      <c r="D26" s="300">
        <v>1.6</v>
      </c>
      <c r="E26" s="300">
        <v>1.5</v>
      </c>
      <c r="F26" s="301">
        <v>0.3</v>
      </c>
      <c r="G26" s="301">
        <v>0.6</v>
      </c>
      <c r="H26" s="301">
        <v>1</v>
      </c>
      <c r="I26" s="301">
        <v>0.6</v>
      </c>
      <c r="J26" s="301">
        <v>0.9</v>
      </c>
      <c r="K26" s="301">
        <v>0.8</v>
      </c>
      <c r="L26" s="302">
        <v>1.55</v>
      </c>
      <c r="M26" s="302">
        <v>0.44999999999999996</v>
      </c>
      <c r="N26" s="302">
        <v>0.8</v>
      </c>
      <c r="O26" s="302">
        <v>0.85000000000000009</v>
      </c>
      <c r="P26" s="302">
        <v>0.91249999999999998</v>
      </c>
      <c r="Q26" s="302">
        <v>0.95000000000000007</v>
      </c>
      <c r="R26" s="302">
        <v>0.875</v>
      </c>
      <c r="T26" s="289">
        <v>10.6</v>
      </c>
    </row>
    <row r="27" spans="1:21" ht="24.75" customHeight="1" x14ac:dyDescent="0.2">
      <c r="A27" s="297" t="s">
        <v>188</v>
      </c>
      <c r="B27" s="298" t="s">
        <v>166</v>
      </c>
      <c r="C27" s="299" t="s">
        <v>167</v>
      </c>
      <c r="D27" s="313">
        <v>3.3</v>
      </c>
      <c r="E27" s="313">
        <v>1.4</v>
      </c>
      <c r="F27" s="313">
        <v>1.6</v>
      </c>
      <c r="G27" s="313">
        <v>0.8</v>
      </c>
      <c r="H27" s="313">
        <v>0.8</v>
      </c>
      <c r="I27" s="300">
        <v>1.1000000000000001</v>
      </c>
      <c r="J27" s="313">
        <v>1.6</v>
      </c>
      <c r="K27" s="313">
        <v>0.5</v>
      </c>
      <c r="L27" s="303">
        <v>0.72499999999999998</v>
      </c>
      <c r="M27" s="303">
        <v>0.05</v>
      </c>
      <c r="N27" s="303">
        <v>0.57500000000000007</v>
      </c>
      <c r="O27" s="303">
        <v>0.05</v>
      </c>
      <c r="P27" s="303">
        <v>0.35000000000000003</v>
      </c>
      <c r="Q27" s="303">
        <v>0.05</v>
      </c>
      <c r="R27" s="303">
        <v>0.64999999999999991</v>
      </c>
      <c r="T27" s="289">
        <v>7.1</v>
      </c>
    </row>
    <row r="28" spans="1:21" ht="24.75" customHeight="1" x14ac:dyDescent="0.2">
      <c r="A28" s="297" t="s">
        <v>211</v>
      </c>
      <c r="B28" s="314" t="s">
        <v>172</v>
      </c>
      <c r="C28" s="299" t="s">
        <v>162</v>
      </c>
      <c r="D28" s="315">
        <v>50.4</v>
      </c>
      <c r="E28" s="315">
        <v>51.5</v>
      </c>
      <c r="F28" s="315">
        <v>34.1</v>
      </c>
      <c r="G28" s="315">
        <v>37</v>
      </c>
      <c r="H28" s="315">
        <v>40.200000000000003</v>
      </c>
      <c r="I28" s="315">
        <v>46.7</v>
      </c>
      <c r="J28" s="315">
        <v>47.3</v>
      </c>
      <c r="K28" s="315">
        <v>47.2</v>
      </c>
      <c r="L28" s="302">
        <v>50.95</v>
      </c>
      <c r="M28" s="302">
        <v>35.549999999999997</v>
      </c>
      <c r="N28" s="302">
        <v>43.45</v>
      </c>
      <c r="O28" s="302">
        <v>47.25</v>
      </c>
      <c r="P28" s="302">
        <v>44.3</v>
      </c>
      <c r="Q28" s="302">
        <v>43</v>
      </c>
      <c r="R28" s="302">
        <v>45.599999999999994</v>
      </c>
      <c r="T28" s="289">
        <v>70</v>
      </c>
    </row>
    <row r="29" spans="1:21" ht="24.75" customHeight="1" x14ac:dyDescent="0.2">
      <c r="A29" s="297" t="s">
        <v>190</v>
      </c>
      <c r="B29" s="298" t="s">
        <v>191</v>
      </c>
      <c r="C29" s="299" t="s">
        <v>192</v>
      </c>
      <c r="D29" s="304">
        <v>4833</v>
      </c>
      <c r="E29" s="304">
        <v>3936</v>
      </c>
      <c r="F29" s="304">
        <v>4066</v>
      </c>
      <c r="G29" s="304">
        <v>4010</v>
      </c>
      <c r="H29" s="304">
        <v>4040</v>
      </c>
      <c r="I29" s="304">
        <v>4592</v>
      </c>
      <c r="J29" s="304">
        <v>4339</v>
      </c>
      <c r="K29" s="304">
        <v>4092</v>
      </c>
      <c r="L29" s="305">
        <v>4384.5</v>
      </c>
      <c r="M29" s="305">
        <v>4038</v>
      </c>
      <c r="N29" s="305">
        <v>4316</v>
      </c>
      <c r="O29" s="305">
        <v>4215.5</v>
      </c>
      <c r="P29" s="305">
        <v>4238.5</v>
      </c>
      <c r="Q29" s="305">
        <v>4319.5</v>
      </c>
      <c r="R29" s="305">
        <v>4157.5</v>
      </c>
    </row>
    <row r="30" spans="1:21" ht="24.75" customHeight="1" x14ac:dyDescent="0.2">
      <c r="A30" s="297" t="s">
        <v>193</v>
      </c>
      <c r="B30" s="298" t="s">
        <v>164</v>
      </c>
      <c r="C30" s="299" t="s">
        <v>162</v>
      </c>
      <c r="D30" s="300">
        <v>47.6</v>
      </c>
      <c r="E30" s="300">
        <v>48.1</v>
      </c>
      <c r="F30" s="300">
        <v>42.4</v>
      </c>
      <c r="G30" s="300">
        <v>42</v>
      </c>
      <c r="H30" s="300">
        <v>42</v>
      </c>
      <c r="I30" s="300">
        <v>44.6</v>
      </c>
      <c r="J30" s="300">
        <v>44.3</v>
      </c>
      <c r="K30" s="300">
        <v>43.2</v>
      </c>
      <c r="L30" s="302">
        <v>47.85</v>
      </c>
      <c r="M30" s="302">
        <v>42.2</v>
      </c>
      <c r="N30" s="302">
        <v>43.3</v>
      </c>
      <c r="O30" s="302">
        <v>43.75</v>
      </c>
      <c r="P30" s="302">
        <v>44.274999999999999</v>
      </c>
      <c r="Q30" s="302">
        <v>44.075000000000003</v>
      </c>
      <c r="R30" s="302">
        <v>44.474999999999994</v>
      </c>
    </row>
    <row r="31" spans="1:21" ht="25.5" customHeight="1" x14ac:dyDescent="0.2">
      <c r="A31" s="297" t="s">
        <v>194</v>
      </c>
      <c r="B31" s="298" t="s">
        <v>164</v>
      </c>
      <c r="C31" s="299" t="s">
        <v>162</v>
      </c>
      <c r="D31" s="300">
        <v>6.48</v>
      </c>
      <c r="E31" s="300">
        <v>6.41</v>
      </c>
      <c r="F31" s="300">
        <v>5.46</v>
      </c>
      <c r="G31" s="300">
        <v>5.47</v>
      </c>
      <c r="H31" s="300">
        <v>5.48</v>
      </c>
      <c r="I31" s="300">
        <v>5.97</v>
      </c>
      <c r="J31" s="300">
        <v>5.89</v>
      </c>
      <c r="K31" s="300">
        <v>5.69</v>
      </c>
      <c r="L31" s="303">
        <v>6.4450000000000003</v>
      </c>
      <c r="M31" s="303">
        <v>5.4649999999999999</v>
      </c>
      <c r="N31" s="303">
        <v>5.7249999999999996</v>
      </c>
      <c r="O31" s="303">
        <v>5.79</v>
      </c>
      <c r="P31" s="303">
        <v>5.8562500000000002</v>
      </c>
      <c r="Q31" s="303">
        <v>5.8275000000000006</v>
      </c>
      <c r="R31" s="303">
        <v>5.8849999999999998</v>
      </c>
    </row>
    <row r="32" spans="1:21" ht="25.5" customHeight="1" x14ac:dyDescent="0.2">
      <c r="A32" s="297" t="s">
        <v>212</v>
      </c>
      <c r="B32" s="576" t="s">
        <v>191</v>
      </c>
      <c r="C32" s="299" t="s">
        <v>192</v>
      </c>
      <c r="D32" s="304">
        <v>4514</v>
      </c>
      <c r="E32" s="304">
        <v>3621</v>
      </c>
      <c r="F32" s="304">
        <v>3797</v>
      </c>
      <c r="G32" s="304">
        <v>3741</v>
      </c>
      <c r="H32" s="304">
        <v>3770</v>
      </c>
      <c r="I32" s="304">
        <v>4298</v>
      </c>
      <c r="J32" s="304">
        <v>4049</v>
      </c>
      <c r="K32" s="304">
        <v>3812</v>
      </c>
      <c r="L32" s="305">
        <v>4067.5</v>
      </c>
      <c r="M32" s="305">
        <v>3769</v>
      </c>
      <c r="N32" s="305">
        <v>4034</v>
      </c>
      <c r="O32" s="305">
        <v>3930.5</v>
      </c>
      <c r="P32" s="305">
        <v>3950.25</v>
      </c>
      <c r="Q32" s="305">
        <v>4032.5</v>
      </c>
      <c r="R32" s="305">
        <v>3868</v>
      </c>
    </row>
    <row r="33" spans="1:20" ht="24.75" customHeight="1" x14ac:dyDescent="0.2">
      <c r="A33" s="297" t="s">
        <v>213</v>
      </c>
      <c r="B33" s="578"/>
      <c r="C33" s="299" t="s">
        <v>192</v>
      </c>
      <c r="D33" s="316">
        <f>D32*((100-D28)/100)-(5.5*(D28/100))</f>
        <v>2236.172</v>
      </c>
      <c r="E33" s="316">
        <f t="shared" ref="E33" si="2">E32*((100-E28)/100)-(5.5*(E28/100))</f>
        <v>1753.3525</v>
      </c>
      <c r="F33" s="316">
        <v>2500.3474999999999</v>
      </c>
      <c r="G33" s="316">
        <v>2354.7950000000001</v>
      </c>
      <c r="H33" s="316">
        <v>2252.2490000000003</v>
      </c>
      <c r="I33" s="316">
        <v>2288.2655</v>
      </c>
      <c r="J33" s="316">
        <v>2131.2215000000001</v>
      </c>
      <c r="K33" s="316">
        <v>2010.14</v>
      </c>
      <c r="L33" s="305">
        <v>1994.76225</v>
      </c>
      <c r="M33" s="305">
        <v>2427.57125</v>
      </c>
      <c r="N33" s="305">
        <v>2270.2572500000001</v>
      </c>
      <c r="O33" s="305">
        <v>2070.68075</v>
      </c>
      <c r="P33" s="305">
        <v>2190.8178749999997</v>
      </c>
      <c r="Q33" s="305">
        <v>2279.9974999999999</v>
      </c>
      <c r="R33" s="305">
        <v>2101.63825</v>
      </c>
    </row>
    <row r="34" spans="1:20" x14ac:dyDescent="0.2"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</row>
    <row r="35" spans="1:20" ht="26.1" customHeight="1" x14ac:dyDescent="0.2">
      <c r="A35" s="292" t="s">
        <v>140</v>
      </c>
      <c r="B35" s="293" t="s">
        <v>141</v>
      </c>
      <c r="C35" s="294" t="s">
        <v>142</v>
      </c>
      <c r="D35" s="295" t="s">
        <v>214</v>
      </c>
      <c r="E35" s="295" t="s">
        <v>215</v>
      </c>
      <c r="F35" s="295" t="s">
        <v>145</v>
      </c>
      <c r="G35" s="295" t="s">
        <v>146</v>
      </c>
      <c r="H35" s="295" t="s">
        <v>201</v>
      </c>
      <c r="I35" s="295" t="s">
        <v>202</v>
      </c>
      <c r="J35" s="295" t="s">
        <v>149</v>
      </c>
      <c r="K35" s="295" t="s">
        <v>150</v>
      </c>
      <c r="L35" s="296" t="s">
        <v>151</v>
      </c>
      <c r="M35" s="296" t="s">
        <v>152</v>
      </c>
      <c r="N35" s="296" t="s">
        <v>153</v>
      </c>
      <c r="O35" s="296" t="s">
        <v>154</v>
      </c>
      <c r="P35" s="296" t="s">
        <v>203</v>
      </c>
      <c r="Q35" s="296" t="s">
        <v>155</v>
      </c>
      <c r="R35" s="296" t="s">
        <v>156</v>
      </c>
    </row>
    <row r="36" spans="1:20" ht="26.1" customHeight="1" x14ac:dyDescent="0.2">
      <c r="A36" s="297" t="s">
        <v>216</v>
      </c>
      <c r="B36" s="317" t="s">
        <v>172</v>
      </c>
      <c r="C36" s="317" t="s">
        <v>162</v>
      </c>
      <c r="D36" s="302">
        <f t="shared" ref="D36:E36" si="3">D5*(100-D28)/100</f>
        <v>45.631999999999998</v>
      </c>
      <c r="E36" s="302">
        <f t="shared" si="3"/>
        <v>39.042499999999997</v>
      </c>
      <c r="F36" s="302">
        <v>55.092399999999998</v>
      </c>
      <c r="G36" s="302">
        <v>53.802000000000007</v>
      </c>
      <c r="H36" s="302">
        <v>49.873199999999997</v>
      </c>
      <c r="I36" s="302">
        <v>45.838000000000001</v>
      </c>
      <c r="J36" s="302">
        <v>45.2166</v>
      </c>
      <c r="K36" s="302">
        <v>44.9328</v>
      </c>
      <c r="L36" s="302">
        <v>42.337249999999997</v>
      </c>
      <c r="M36" s="302">
        <v>54.447200000000002</v>
      </c>
      <c r="N36" s="302">
        <v>47.855599999999995</v>
      </c>
      <c r="O36" s="302">
        <v>45.0747</v>
      </c>
      <c r="P36" s="302">
        <v>47.428687500000002</v>
      </c>
      <c r="Q36" s="302">
        <v>48.95355</v>
      </c>
      <c r="R36" s="302">
        <v>45.903824999999998</v>
      </c>
      <c r="S36" s="288">
        <v>20</v>
      </c>
      <c r="T36" s="289">
        <v>100</v>
      </c>
    </row>
    <row r="37" spans="1:20" ht="26.1" customHeight="1" x14ac:dyDescent="0.2">
      <c r="A37" s="297" t="s">
        <v>217</v>
      </c>
      <c r="B37" s="317" t="s">
        <v>172</v>
      </c>
      <c r="C37" s="317" t="s">
        <v>162</v>
      </c>
      <c r="D37" s="303">
        <f>((D6+D7/10000+D8/10000)*(100-D28)/100)</f>
        <v>1.1256323200000002</v>
      </c>
      <c r="E37" s="303">
        <f>((E6+E7/10000+E8/10000)*(100-E28)/100)</f>
        <v>1.0605009999999999</v>
      </c>
      <c r="F37" s="303">
        <v>0.41799949999999997</v>
      </c>
      <c r="G37" s="303">
        <v>0.5292882000000001</v>
      </c>
      <c r="H37" s="303">
        <v>0.93093051999999998</v>
      </c>
      <c r="I37" s="303">
        <v>1.2477050299999999</v>
      </c>
      <c r="J37" s="303">
        <v>0.71500198000000015</v>
      </c>
      <c r="K37" s="303">
        <v>0.59159231999999984</v>
      </c>
      <c r="L37" s="303">
        <v>1.0930666600000001</v>
      </c>
      <c r="M37" s="303">
        <v>0.47364385000000003</v>
      </c>
      <c r="N37" s="303">
        <v>1.089317775</v>
      </c>
      <c r="O37" s="303">
        <v>0.65329714999999999</v>
      </c>
      <c r="P37" s="303">
        <v>0.82733135875000008</v>
      </c>
      <c r="Q37" s="303">
        <v>0.79739108000000014</v>
      </c>
      <c r="R37" s="303">
        <v>0.85727163749999991</v>
      </c>
      <c r="S37" s="288" t="s">
        <v>210</v>
      </c>
      <c r="T37" s="289">
        <v>7</v>
      </c>
    </row>
  </sheetData>
  <mergeCells count="9">
    <mergeCell ref="B10:B13"/>
    <mergeCell ref="B16:B18"/>
    <mergeCell ref="B32:B33"/>
    <mergeCell ref="D1:G1"/>
    <mergeCell ref="H1:K1"/>
    <mergeCell ref="D2:G2"/>
    <mergeCell ref="H2:K2"/>
    <mergeCell ref="D3:G3"/>
    <mergeCell ref="H3:K3"/>
  </mergeCells>
  <conditionalFormatting sqref="D19:E19 H19:K19">
    <cfRule type="cellIs" dxfId="112" priority="23" operator="greaterThan">
      <formula>$T$19</formula>
    </cfRule>
  </conditionalFormatting>
  <conditionalFormatting sqref="D20:E20 H20:K20">
    <cfRule type="cellIs" dxfId="111" priority="22" operator="greaterThan">
      <formula>$T$20</formula>
    </cfRule>
  </conditionalFormatting>
  <conditionalFormatting sqref="D21:E21 H21:K21">
    <cfRule type="cellIs" dxfId="110" priority="21" operator="greaterThan">
      <formula>$T$21</formula>
    </cfRule>
  </conditionalFormatting>
  <conditionalFormatting sqref="D22:E22 H22:R22">
    <cfRule type="cellIs" dxfId="109" priority="20" operator="greaterThan">
      <formula>$T$22</formula>
    </cfRule>
  </conditionalFormatting>
  <conditionalFormatting sqref="D23:E23 H23:R23">
    <cfRule type="cellIs" dxfId="108" priority="19" operator="greaterThan">
      <formula>$T$23</formula>
    </cfRule>
  </conditionalFormatting>
  <conditionalFormatting sqref="D24:E25 H24:R25">
    <cfRule type="cellIs" dxfId="107" priority="18" operator="greaterThan">
      <formula>$T$24</formula>
    </cfRule>
  </conditionalFormatting>
  <conditionalFormatting sqref="D26:E26 L27:R27 H26:R26">
    <cfRule type="cellIs" dxfId="106" priority="17" operator="greaterThan">
      <formula>$T$24</formula>
    </cfRule>
  </conditionalFormatting>
  <conditionalFormatting sqref="D27:E27 H27:K27">
    <cfRule type="cellIs" dxfId="105" priority="16" operator="greaterThan">
      <formula>$T$27</formula>
    </cfRule>
  </conditionalFormatting>
  <conditionalFormatting sqref="D28:R28">
    <cfRule type="cellIs" dxfId="104" priority="15" operator="greaterThan">
      <formula>$T$28</formula>
    </cfRule>
  </conditionalFormatting>
  <conditionalFormatting sqref="D37:R37">
    <cfRule type="cellIs" dxfId="103" priority="14" operator="greaterThan">
      <formula>$T$37</formula>
    </cfRule>
  </conditionalFormatting>
  <conditionalFormatting sqref="D36:R36">
    <cfRule type="cellIs" dxfId="102" priority="12" operator="lessThan">
      <formula>$S$36</formula>
    </cfRule>
    <cfRule type="cellIs" dxfId="101" priority="13" operator="greaterThan">
      <formula>$T$36</formula>
    </cfRule>
  </conditionalFormatting>
  <conditionalFormatting sqref="F19:G19">
    <cfRule type="cellIs" dxfId="100" priority="11" operator="greaterThan">
      <formula>$T$19</formula>
    </cfRule>
  </conditionalFormatting>
  <conditionalFormatting sqref="F20:G20">
    <cfRule type="cellIs" dxfId="99" priority="10" operator="greaterThan">
      <formula>$T$20</formula>
    </cfRule>
  </conditionalFormatting>
  <conditionalFormatting sqref="F21:G21">
    <cfRule type="cellIs" dxfId="98" priority="9" operator="greaterThan">
      <formula>$T$21</formula>
    </cfRule>
  </conditionalFormatting>
  <conditionalFormatting sqref="F22:G22">
    <cfRule type="cellIs" dxfId="97" priority="8" operator="greaterThan">
      <formula>$T$22</formula>
    </cfRule>
  </conditionalFormatting>
  <conditionalFormatting sqref="F23:G23">
    <cfRule type="cellIs" dxfId="96" priority="7" operator="greaterThan">
      <formula>$T$23</formula>
    </cfRule>
  </conditionalFormatting>
  <conditionalFormatting sqref="F24:G25">
    <cfRule type="cellIs" dxfId="95" priority="6" operator="greaterThan">
      <formula>$T$24</formula>
    </cfRule>
  </conditionalFormatting>
  <conditionalFormatting sqref="F26:G26">
    <cfRule type="cellIs" dxfId="94" priority="5" operator="greaterThan">
      <formula>$T$24</formula>
    </cfRule>
  </conditionalFormatting>
  <conditionalFormatting sqref="F27">
    <cfRule type="cellIs" dxfId="93" priority="4" operator="greaterThan">
      <formula>$T$27</formula>
    </cfRule>
  </conditionalFormatting>
  <conditionalFormatting sqref="G27">
    <cfRule type="cellIs" dxfId="92" priority="3" operator="greaterThan">
      <formula>$T$27</formula>
    </cfRule>
  </conditionalFormatting>
  <conditionalFormatting sqref="D14:K14">
    <cfRule type="cellIs" dxfId="91" priority="2" operator="lessThan">
      <formula>$T$14</formula>
    </cfRule>
  </conditionalFormatting>
  <conditionalFormatting sqref="D15:K15">
    <cfRule type="cellIs" dxfId="90" priority="1" operator="lessThan">
      <formula>$T$14</formula>
    </cfRule>
  </conditionalFormatting>
  <pageMargins left="0.27559055118110237" right="0.19685039370078741" top="0.19685039370078741" bottom="0.78740157480314965" header="0" footer="0.51181102362204722"/>
  <pageSetup paperSize="9" fitToWidth="0" orientation="portrait" horizontalDpi="4294967294" r:id="rId1"/>
  <headerFooter alignWithMargins="0">
    <oddFooter xml:space="preserve">&amp;L&amp;"Rockwell,Gras"&amp;P/&amp;N&amp;C&amp;"Rockwell,Gras"&amp;D&amp;R&amp;"Rockwell,Gras"&amp;F </oddFooter>
  </headerFooter>
  <colBreaks count="1" manualBreakCount="1">
    <brk id="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BS30"/>
  <sheetViews>
    <sheetView zoomScale="60" zoomScaleNormal="60" workbookViewId="0">
      <pane xSplit="3" ySplit="4" topLeftCell="D5" activePane="bottomRight" state="frozen"/>
      <selection activeCell="J15" sqref="J15"/>
      <selection pane="topRight" activeCell="J15" sqref="J15"/>
      <selection pane="bottomLeft" activeCell="J15" sqref="J15"/>
      <selection pane="bottomRight" activeCell="J15" sqref="J15"/>
    </sheetView>
  </sheetViews>
  <sheetFormatPr baseColWidth="10" defaultRowHeight="15" x14ac:dyDescent="0.25"/>
  <cols>
    <col min="1" max="1" width="17.42578125" style="257" bestFit="1" customWidth="1"/>
    <col min="2" max="2" width="14.28515625" style="257" hidden="1" customWidth="1"/>
    <col min="3" max="3" width="14.28515625" style="257" customWidth="1"/>
    <col min="4" max="4" width="14" style="257" bestFit="1" customWidth="1"/>
    <col min="5" max="5" width="12.42578125" style="257" customWidth="1"/>
    <col min="6" max="6" width="15.42578125" style="257" customWidth="1"/>
    <col min="7" max="7" width="16.28515625" style="257" bestFit="1" customWidth="1"/>
    <col min="8" max="9" width="11.42578125" style="257"/>
    <col min="10" max="10" width="15.28515625" style="257" bestFit="1" customWidth="1"/>
    <col min="11" max="11" width="13.5703125" style="335" customWidth="1"/>
    <col min="12" max="12" width="16.42578125" style="335" bestFit="1" customWidth="1"/>
    <col min="13" max="13" width="11.42578125" style="335"/>
    <col min="14" max="14" width="13.140625" style="335" bestFit="1" customWidth="1"/>
    <col min="15" max="15" width="11.42578125" style="335"/>
    <col min="16" max="18" width="17" style="335" customWidth="1"/>
    <col min="19" max="19" width="11.42578125" style="279"/>
    <col min="20" max="20" width="22.42578125" style="319" bestFit="1" customWidth="1"/>
    <col min="21" max="21" width="13.140625" style="319" bestFit="1" customWidth="1"/>
    <col min="22" max="22" width="10" style="319" bestFit="1" customWidth="1"/>
    <col min="23" max="23" width="12.85546875" style="319" bestFit="1" customWidth="1"/>
    <col min="24" max="24" width="16" style="319" bestFit="1" customWidth="1"/>
    <col min="25" max="25" width="7.28515625" style="319" bestFit="1" customWidth="1"/>
    <col min="26" max="26" width="9.140625" style="319" bestFit="1" customWidth="1"/>
    <col min="27" max="27" width="17.7109375" style="319" bestFit="1" customWidth="1"/>
    <col min="28" max="28" width="20" style="319" bestFit="1" customWidth="1"/>
    <col min="29" max="29" width="19.140625" style="319" bestFit="1" customWidth="1"/>
    <col min="30" max="30" width="9.5703125" style="319" bestFit="1" customWidth="1"/>
    <col min="31" max="31" width="13.85546875" style="319" bestFit="1" customWidth="1"/>
    <col min="32" max="32" width="9.7109375" style="319" bestFit="1" customWidth="1"/>
    <col min="33" max="33" width="10.140625" style="319" bestFit="1" customWidth="1"/>
    <col min="34" max="34" width="21" style="319" bestFit="1" customWidth="1"/>
    <col min="35" max="35" width="7.42578125" style="319" bestFit="1" customWidth="1"/>
    <col min="36" max="36" width="11.42578125" style="279"/>
    <col min="37" max="37" width="24" style="279" bestFit="1" customWidth="1"/>
    <col min="38" max="38" width="13.7109375" style="279" bestFit="1" customWidth="1"/>
    <col min="39" max="39" width="11.28515625" style="279" bestFit="1" customWidth="1"/>
    <col min="40" max="40" width="13.28515625" style="279" bestFit="1" customWidth="1"/>
    <col min="41" max="41" width="16.85546875" style="279" bestFit="1" customWidth="1"/>
    <col min="42" max="42" width="8" style="279" bestFit="1" customWidth="1"/>
    <col min="43" max="43" width="11.28515625" style="279" bestFit="1" customWidth="1"/>
    <col min="44" max="44" width="18.28515625" style="279" bestFit="1" customWidth="1"/>
    <col min="45" max="45" width="20.5703125" style="279" hidden="1" customWidth="1"/>
    <col min="46" max="46" width="19.42578125" style="279" bestFit="1" customWidth="1"/>
    <col min="47" max="47" width="10.140625" style="279" bestFit="1" customWidth="1"/>
    <col min="48" max="48" width="14.7109375" style="279" bestFit="1" customWidth="1"/>
    <col min="49" max="49" width="10.140625" style="279" bestFit="1" customWidth="1"/>
    <col min="50" max="50" width="10.5703125" style="279" bestFit="1" customWidth="1"/>
    <col min="51" max="51" width="22" style="279" bestFit="1" customWidth="1"/>
    <col min="52" max="52" width="11.28515625" style="279" bestFit="1" customWidth="1"/>
    <col min="53" max="53" width="11.42578125" style="279"/>
    <col min="54" max="54" width="22" style="279" bestFit="1" customWidth="1"/>
    <col min="55" max="55" width="13.7109375" style="279" bestFit="1" customWidth="1"/>
    <col min="56" max="56" width="9.85546875" style="279" bestFit="1" customWidth="1"/>
    <col min="57" max="57" width="10.42578125" style="279" bestFit="1" customWidth="1"/>
    <col min="58" max="58" width="13.42578125" style="279" bestFit="1" customWidth="1"/>
    <col min="59" max="60" width="8.7109375" style="279" bestFit="1" customWidth="1"/>
    <col min="61" max="61" width="14.42578125" style="279" bestFit="1" customWidth="1"/>
    <col min="62" max="62" width="16.28515625" style="279" hidden="1" customWidth="1"/>
    <col min="63" max="63" width="15.42578125" style="279" bestFit="1" customWidth="1"/>
    <col min="64" max="64" width="8.7109375" style="279" bestFit="1" customWidth="1"/>
    <col min="65" max="65" width="11.5703125" style="279" bestFit="1" customWidth="1"/>
    <col min="66" max="67" width="9.85546875" style="279" bestFit="1" customWidth="1"/>
    <col min="68" max="68" width="16.85546875" style="279" bestFit="1" customWidth="1"/>
    <col min="69" max="69" width="8.7109375" style="279" bestFit="1" customWidth="1"/>
    <col min="70" max="71" width="11.42578125" style="279"/>
    <col min="72" max="16384" width="11.42578125" style="258"/>
  </cols>
  <sheetData>
    <row r="1" spans="1:71" ht="32.25" customHeight="1" x14ac:dyDescent="0.25">
      <c r="D1" s="572" t="s">
        <v>218</v>
      </c>
      <c r="E1" s="572"/>
      <c r="F1" s="572"/>
      <c r="G1" s="572"/>
      <c r="H1" s="572" t="s">
        <v>218</v>
      </c>
      <c r="I1" s="572"/>
      <c r="J1" s="572"/>
      <c r="K1" s="572"/>
      <c r="L1" s="572" t="s">
        <v>218</v>
      </c>
      <c r="M1" s="572"/>
      <c r="N1" s="572"/>
      <c r="O1" s="572"/>
      <c r="P1" s="572" t="s">
        <v>218</v>
      </c>
      <c r="Q1" s="572"/>
      <c r="R1" s="572"/>
    </row>
    <row r="2" spans="1:71" ht="21" customHeight="1" x14ac:dyDescent="0.25">
      <c r="D2" s="573" t="s">
        <v>219</v>
      </c>
      <c r="E2" s="573"/>
      <c r="F2" s="573"/>
      <c r="G2" s="573"/>
      <c r="H2" s="573" t="str">
        <f>D2</f>
        <v>Campagne : Printemps 2015</v>
      </c>
      <c r="I2" s="573"/>
      <c r="J2" s="573"/>
      <c r="K2" s="573"/>
      <c r="L2" s="573" t="str">
        <f>D2</f>
        <v>Campagne : Printemps 2015</v>
      </c>
      <c r="M2" s="573"/>
      <c r="N2" s="573"/>
      <c r="O2" s="573"/>
      <c r="P2" s="573" t="str">
        <f>D2</f>
        <v>Campagne : Printemps 2015</v>
      </c>
      <c r="Q2" s="573"/>
      <c r="R2" s="573"/>
    </row>
    <row r="3" spans="1:71" ht="21" customHeight="1" x14ac:dyDescent="0.25">
      <c r="A3" s="261"/>
      <c r="B3" s="261"/>
      <c r="C3" s="261"/>
      <c r="D3" s="574" t="s">
        <v>139</v>
      </c>
      <c r="E3" s="574"/>
      <c r="F3" s="574"/>
      <c r="G3" s="574"/>
      <c r="H3" s="574" t="s">
        <v>139</v>
      </c>
      <c r="I3" s="574"/>
      <c r="J3" s="574"/>
      <c r="K3" s="574"/>
      <c r="L3" s="574" t="s">
        <v>139</v>
      </c>
      <c r="M3" s="574"/>
      <c r="N3" s="574"/>
      <c r="O3" s="574"/>
      <c r="P3" s="574" t="s">
        <v>139</v>
      </c>
      <c r="Q3" s="574"/>
      <c r="R3" s="574"/>
    </row>
    <row r="4" spans="1:71" ht="30" x14ac:dyDescent="0.25">
      <c r="A4" s="262" t="s">
        <v>140</v>
      </c>
      <c r="B4" s="263" t="s">
        <v>141</v>
      </c>
      <c r="C4" s="264" t="s">
        <v>220</v>
      </c>
      <c r="D4" s="262" t="s">
        <v>221</v>
      </c>
      <c r="E4" s="262" t="s">
        <v>45</v>
      </c>
      <c r="F4" s="262" t="s">
        <v>50</v>
      </c>
      <c r="G4" s="262" t="s">
        <v>109</v>
      </c>
      <c r="H4" s="262" t="s">
        <v>57</v>
      </c>
      <c r="I4" s="262" t="s">
        <v>60</v>
      </c>
      <c r="J4" s="262" t="s">
        <v>222</v>
      </c>
      <c r="K4" s="262" t="s">
        <v>223</v>
      </c>
      <c r="L4" s="262" t="s">
        <v>224</v>
      </c>
      <c r="M4" s="262" t="s">
        <v>225</v>
      </c>
      <c r="N4" s="262" t="s">
        <v>226</v>
      </c>
      <c r="O4" s="262" t="s">
        <v>31</v>
      </c>
      <c r="P4" s="262" t="s">
        <v>37</v>
      </c>
      <c r="Q4" s="262" t="s">
        <v>47</v>
      </c>
      <c r="R4" s="262" t="s">
        <v>227</v>
      </c>
      <c r="T4" s="280" t="s">
        <v>228</v>
      </c>
      <c r="U4" s="280" t="str">
        <f>D4</f>
        <v>Complexes</v>
      </c>
      <c r="V4" s="280" t="str">
        <f t="shared" ref="V4:AG4" si="0">E4</f>
        <v>Textiles</v>
      </c>
      <c r="W4" s="280" t="str">
        <f t="shared" si="0"/>
        <v>Plastiques</v>
      </c>
      <c r="X4" s="280" t="str">
        <f t="shared" si="0"/>
        <v>Combustibles</v>
      </c>
      <c r="Y4" s="280" t="str">
        <f t="shared" si="0"/>
        <v>Verre</v>
      </c>
      <c r="Z4" s="280" t="str">
        <f t="shared" si="0"/>
        <v>Métaux</v>
      </c>
      <c r="AA4" s="280" t="str">
        <f t="shared" si="0"/>
        <v>Incombustibles</v>
      </c>
      <c r="AB4" s="280" t="str">
        <f t="shared" si="0"/>
        <v>Déchets spéciaux</v>
      </c>
      <c r="AC4" s="280" t="str">
        <f t="shared" si="0"/>
        <v>Fermentescibles</v>
      </c>
      <c r="AD4" s="280" t="str">
        <f t="shared" si="0"/>
        <v>Ligneux</v>
      </c>
      <c r="AE4" s="280" t="str">
        <f t="shared" si="0"/>
        <v>Non ligneux</v>
      </c>
      <c r="AF4" s="280" t="str">
        <f t="shared" si="0"/>
        <v>Papiers</v>
      </c>
      <c r="AG4" s="280" t="str">
        <f t="shared" si="0"/>
        <v>Cartons</v>
      </c>
      <c r="AH4" s="280" t="str">
        <f>Q4</f>
        <v>Textiles sanitaires</v>
      </c>
      <c r="AI4" s="280" t="str">
        <f>R4</f>
        <v>Fines</v>
      </c>
      <c r="AK4" s="280" t="s">
        <v>229</v>
      </c>
      <c r="AL4" s="280" t="str">
        <f>U4</f>
        <v>Complexes</v>
      </c>
      <c r="AM4" s="280" t="str">
        <f t="shared" ref="AM4:AX4" si="1">V4</f>
        <v>Textiles</v>
      </c>
      <c r="AN4" s="280" t="str">
        <f t="shared" si="1"/>
        <v>Plastiques</v>
      </c>
      <c r="AO4" s="280" t="str">
        <f t="shared" si="1"/>
        <v>Combustibles</v>
      </c>
      <c r="AP4" s="280" t="str">
        <f t="shared" si="1"/>
        <v>Verre</v>
      </c>
      <c r="AQ4" s="280" t="str">
        <f t="shared" si="1"/>
        <v>Métaux</v>
      </c>
      <c r="AR4" s="280" t="str">
        <f t="shared" si="1"/>
        <v>Incombustibles</v>
      </c>
      <c r="AS4" s="280" t="str">
        <f t="shared" si="1"/>
        <v>Déchets spéciaux</v>
      </c>
      <c r="AT4" s="280" t="str">
        <f t="shared" si="1"/>
        <v>Fermentescibles</v>
      </c>
      <c r="AU4" s="280" t="str">
        <f t="shared" si="1"/>
        <v>Ligneux</v>
      </c>
      <c r="AV4" s="280" t="str">
        <f t="shared" si="1"/>
        <v>Non ligneux</v>
      </c>
      <c r="AW4" s="280" t="str">
        <f t="shared" si="1"/>
        <v>Papiers</v>
      </c>
      <c r="AX4" s="280" t="str">
        <f t="shared" si="1"/>
        <v>Cartons</v>
      </c>
      <c r="AY4" s="280" t="str">
        <f>AH4</f>
        <v>Textiles sanitaires</v>
      </c>
      <c r="AZ4" s="280" t="str">
        <f>AI4</f>
        <v>Fines</v>
      </c>
      <c r="BB4" s="280" t="s">
        <v>230</v>
      </c>
      <c r="BC4" s="280" t="str">
        <f>AL4</f>
        <v>Complexes</v>
      </c>
      <c r="BD4" s="280" t="str">
        <f t="shared" ref="BD4:BO4" si="2">AM4</f>
        <v>Textiles</v>
      </c>
      <c r="BE4" s="280" t="str">
        <f t="shared" si="2"/>
        <v>Plastiques</v>
      </c>
      <c r="BF4" s="280" t="str">
        <f t="shared" si="2"/>
        <v>Combustibles</v>
      </c>
      <c r="BG4" s="280" t="str">
        <f t="shared" si="2"/>
        <v>Verre</v>
      </c>
      <c r="BH4" s="280" t="str">
        <f t="shared" si="2"/>
        <v>Métaux</v>
      </c>
      <c r="BI4" s="280" t="str">
        <f t="shared" si="2"/>
        <v>Incombustibles</v>
      </c>
      <c r="BJ4" s="280" t="str">
        <f t="shared" si="2"/>
        <v>Déchets spéciaux</v>
      </c>
      <c r="BK4" s="280" t="str">
        <f t="shared" si="2"/>
        <v>Fermentescibles</v>
      </c>
      <c r="BL4" s="280" t="str">
        <f t="shared" si="2"/>
        <v>Ligneux</v>
      </c>
      <c r="BM4" s="280" t="str">
        <f t="shared" si="2"/>
        <v>Non ligneux</v>
      </c>
      <c r="BN4" s="280" t="str">
        <f t="shared" si="2"/>
        <v>Papiers</v>
      </c>
      <c r="BO4" s="280" t="str">
        <f t="shared" si="2"/>
        <v>Cartons</v>
      </c>
      <c r="BP4" s="280" t="str">
        <f>AY4</f>
        <v>Textiles sanitaires</v>
      </c>
      <c r="BQ4" s="280" t="str">
        <f>AZ4</f>
        <v>Fines</v>
      </c>
    </row>
    <row r="5" spans="1:71" ht="24.95" customHeight="1" x14ac:dyDescent="0.25">
      <c r="A5" s="270" t="s">
        <v>160</v>
      </c>
      <c r="B5" s="271" t="s">
        <v>161</v>
      </c>
      <c r="C5" s="320" t="s">
        <v>162</v>
      </c>
      <c r="D5" s="321">
        <v>89.3</v>
      </c>
      <c r="E5" s="321">
        <v>96.5</v>
      </c>
      <c r="F5" s="321">
        <v>94.8</v>
      </c>
      <c r="G5" s="321">
        <v>93.6</v>
      </c>
      <c r="H5" s="321">
        <v>0.7</v>
      </c>
      <c r="I5" s="321">
        <v>4.9000000000000004</v>
      </c>
      <c r="J5" s="321">
        <v>1.9</v>
      </c>
      <c r="K5" s="583" t="s">
        <v>231</v>
      </c>
      <c r="L5" s="321">
        <v>92.9</v>
      </c>
      <c r="M5" s="321">
        <v>93.2</v>
      </c>
      <c r="N5" s="321">
        <v>89.7</v>
      </c>
      <c r="O5" s="321">
        <v>80.900000000000006</v>
      </c>
      <c r="P5" s="321">
        <v>84.3</v>
      </c>
      <c r="Q5" s="321">
        <v>94.6</v>
      </c>
      <c r="R5" s="321">
        <v>61.5</v>
      </c>
      <c r="T5" s="280" t="s">
        <v>160</v>
      </c>
      <c r="U5" s="319">
        <v>85.9</v>
      </c>
      <c r="V5" s="319">
        <v>96.5</v>
      </c>
      <c r="W5" s="319">
        <v>94.6</v>
      </c>
      <c r="X5" s="319">
        <v>82.6</v>
      </c>
      <c r="Y5" s="319">
        <v>1.2</v>
      </c>
      <c r="Z5" s="319">
        <v>12.4</v>
      </c>
      <c r="AA5" s="319">
        <v>10.7</v>
      </c>
      <c r="AC5" s="319">
        <v>87</v>
      </c>
      <c r="AD5" s="319">
        <v>87</v>
      </c>
      <c r="AE5" s="319">
        <v>87</v>
      </c>
      <c r="AF5" s="319">
        <v>76.5</v>
      </c>
      <c r="AG5" s="319">
        <v>84.2</v>
      </c>
      <c r="AH5" s="319">
        <v>89.6</v>
      </c>
      <c r="AI5" s="319">
        <v>48.8</v>
      </c>
      <c r="AK5" s="280" t="s">
        <v>160</v>
      </c>
      <c r="AL5" s="319">
        <f>U5+((20/100)*U5)</f>
        <v>103.08000000000001</v>
      </c>
      <c r="AM5" s="319">
        <f t="shared" ref="AM5:AZ5" si="3">V5+((20/100)*V5)</f>
        <v>115.8</v>
      </c>
      <c r="AN5" s="319">
        <f t="shared" si="3"/>
        <v>113.52</v>
      </c>
      <c r="AO5" s="319">
        <f t="shared" si="3"/>
        <v>99.11999999999999</v>
      </c>
      <c r="AP5" s="319">
        <f t="shared" si="3"/>
        <v>1.44</v>
      </c>
      <c r="AQ5" s="319">
        <f t="shared" si="3"/>
        <v>14.88</v>
      </c>
      <c r="AR5" s="319">
        <f t="shared" si="3"/>
        <v>12.84</v>
      </c>
      <c r="AS5" s="319"/>
      <c r="AT5" s="319">
        <f t="shared" si="3"/>
        <v>104.4</v>
      </c>
      <c r="AU5" s="319">
        <f t="shared" si="3"/>
        <v>104.4</v>
      </c>
      <c r="AV5" s="319">
        <f t="shared" si="3"/>
        <v>104.4</v>
      </c>
      <c r="AW5" s="319">
        <f t="shared" si="3"/>
        <v>91.8</v>
      </c>
      <c r="AX5" s="319">
        <f t="shared" si="3"/>
        <v>101.04</v>
      </c>
      <c r="AY5" s="319">
        <f t="shared" si="3"/>
        <v>107.52</v>
      </c>
      <c r="AZ5" s="319">
        <f t="shared" si="3"/>
        <v>58.559999999999995</v>
      </c>
      <c r="BA5" s="319"/>
      <c r="BB5" s="280" t="s">
        <v>160</v>
      </c>
      <c r="BC5" s="322">
        <f>U5-((20/100)*U5)</f>
        <v>68.72</v>
      </c>
      <c r="BD5" s="322">
        <f t="shared" ref="BD5:BQ5" si="4">V5-((20/100)*V5)</f>
        <v>77.2</v>
      </c>
      <c r="BE5" s="322">
        <f t="shared" si="4"/>
        <v>75.679999999999993</v>
      </c>
      <c r="BF5" s="322">
        <f t="shared" si="4"/>
        <v>66.08</v>
      </c>
      <c r="BG5" s="322">
        <f t="shared" si="4"/>
        <v>0.96</v>
      </c>
      <c r="BH5" s="322">
        <f t="shared" si="4"/>
        <v>9.92</v>
      </c>
      <c r="BI5" s="322">
        <f t="shared" si="4"/>
        <v>8.5599999999999987</v>
      </c>
      <c r="BJ5" s="322">
        <f t="shared" si="4"/>
        <v>0</v>
      </c>
      <c r="BK5" s="322">
        <f t="shared" si="4"/>
        <v>69.599999999999994</v>
      </c>
      <c r="BL5" s="322">
        <f t="shared" si="4"/>
        <v>69.599999999999994</v>
      </c>
      <c r="BM5" s="322">
        <f t="shared" si="4"/>
        <v>69.599999999999994</v>
      </c>
      <c r="BN5" s="322">
        <f t="shared" si="4"/>
        <v>61.2</v>
      </c>
      <c r="BO5" s="322">
        <f t="shared" si="4"/>
        <v>67.36</v>
      </c>
      <c r="BP5" s="322">
        <f t="shared" si="4"/>
        <v>71.679999999999993</v>
      </c>
      <c r="BQ5" s="322">
        <f t="shared" si="4"/>
        <v>39.04</v>
      </c>
      <c r="BS5" s="279" t="s">
        <v>210</v>
      </c>
    </row>
    <row r="6" spans="1:71" ht="24.95" customHeight="1" x14ac:dyDescent="0.25">
      <c r="A6" s="270" t="s">
        <v>163</v>
      </c>
      <c r="B6" s="271" t="s">
        <v>164</v>
      </c>
      <c r="C6" s="320" t="s">
        <v>162</v>
      </c>
      <c r="D6" s="323">
        <v>0.49</v>
      </c>
      <c r="E6" s="323">
        <v>0.62</v>
      </c>
      <c r="F6" s="323">
        <v>0.56000000000000005</v>
      </c>
      <c r="G6" s="323">
        <v>1.97</v>
      </c>
      <c r="H6" s="323">
        <v>0.1</v>
      </c>
      <c r="I6" s="323">
        <v>0.15</v>
      </c>
      <c r="J6" s="323">
        <v>0.1</v>
      </c>
      <c r="K6" s="584"/>
      <c r="L6" s="323">
        <v>3.41</v>
      </c>
      <c r="M6" s="323">
        <v>1.24</v>
      </c>
      <c r="N6" s="323">
        <v>1.71</v>
      </c>
      <c r="O6" s="323">
        <v>0.44</v>
      </c>
      <c r="P6" s="323">
        <v>0.43</v>
      </c>
      <c r="Q6" s="323">
        <v>0.51</v>
      </c>
      <c r="R6" s="323">
        <v>2.16</v>
      </c>
      <c r="T6" s="280" t="s">
        <v>163</v>
      </c>
      <c r="AK6" s="280" t="s">
        <v>163</v>
      </c>
      <c r="AL6" s="319"/>
      <c r="AM6" s="319"/>
      <c r="AN6" s="319"/>
      <c r="AO6" s="319"/>
      <c r="AP6" s="319"/>
      <c r="AQ6" s="319"/>
      <c r="AR6" s="319"/>
      <c r="AS6" s="319"/>
      <c r="AT6" s="319"/>
      <c r="AU6" s="319"/>
      <c r="AV6" s="319"/>
      <c r="AW6" s="319"/>
      <c r="AX6" s="319"/>
      <c r="AY6" s="319"/>
      <c r="AZ6" s="319"/>
      <c r="BB6" s="280" t="s">
        <v>163</v>
      </c>
      <c r="BC6" s="319"/>
      <c r="BD6" s="319"/>
      <c r="BE6" s="319"/>
      <c r="BF6" s="319"/>
      <c r="BG6" s="319"/>
      <c r="BH6" s="319"/>
      <c r="BI6" s="319"/>
      <c r="BJ6" s="319"/>
      <c r="BK6" s="319"/>
      <c r="BL6" s="319"/>
      <c r="BM6" s="319"/>
      <c r="BN6" s="319"/>
      <c r="BO6" s="319"/>
      <c r="BP6" s="319"/>
      <c r="BQ6" s="319"/>
      <c r="BS6" s="279" t="s">
        <v>232</v>
      </c>
    </row>
    <row r="7" spans="1:71" ht="24.95" customHeight="1" x14ac:dyDescent="0.25">
      <c r="A7" s="270" t="s">
        <v>165</v>
      </c>
      <c r="B7" s="271" t="s">
        <v>166</v>
      </c>
      <c r="C7" s="320" t="s">
        <v>167</v>
      </c>
      <c r="D7" s="324">
        <v>368</v>
      </c>
      <c r="E7" s="324">
        <v>532.79999999999995</v>
      </c>
      <c r="F7" s="324">
        <v>200.5</v>
      </c>
      <c r="G7" s="324">
        <v>640.5</v>
      </c>
      <c r="H7" s="324">
        <v>10.6</v>
      </c>
      <c r="I7" s="324">
        <v>116.5</v>
      </c>
      <c r="J7" s="324">
        <v>142.4</v>
      </c>
      <c r="K7" s="584"/>
      <c r="L7" s="324">
        <v>5219.5</v>
      </c>
      <c r="M7" s="324">
        <v>1610.4</v>
      </c>
      <c r="N7" s="324">
        <v>1982.6</v>
      </c>
      <c r="O7" s="324">
        <v>492.9</v>
      </c>
      <c r="P7" s="324">
        <v>550.70000000000005</v>
      </c>
      <c r="Q7" s="324">
        <v>707.7</v>
      </c>
      <c r="R7" s="324">
        <v>2411.9</v>
      </c>
      <c r="T7" s="280" t="s">
        <v>165</v>
      </c>
      <c r="AK7" s="280" t="s">
        <v>165</v>
      </c>
      <c r="AL7" s="319"/>
      <c r="AM7" s="319"/>
      <c r="AN7" s="319"/>
      <c r="AO7" s="319"/>
      <c r="AP7" s="319"/>
      <c r="AQ7" s="319"/>
      <c r="AR7" s="319"/>
      <c r="AS7" s="319"/>
      <c r="AT7" s="319"/>
      <c r="AU7" s="319"/>
      <c r="AV7" s="319"/>
      <c r="AW7" s="319"/>
      <c r="AX7" s="319"/>
      <c r="AY7" s="319"/>
      <c r="AZ7" s="319"/>
      <c r="BB7" s="280" t="s">
        <v>165</v>
      </c>
      <c r="BC7" s="319"/>
      <c r="BD7" s="319"/>
      <c r="BE7" s="319"/>
      <c r="BF7" s="319"/>
      <c r="BG7" s="319"/>
      <c r="BH7" s="319"/>
      <c r="BI7" s="319"/>
      <c r="BJ7" s="319"/>
      <c r="BK7" s="319"/>
      <c r="BL7" s="319"/>
      <c r="BM7" s="319"/>
      <c r="BN7" s="319"/>
      <c r="BO7" s="319"/>
      <c r="BP7" s="319"/>
      <c r="BQ7" s="319"/>
    </row>
    <row r="8" spans="1:71" ht="24.95" customHeight="1" x14ac:dyDescent="0.25">
      <c r="A8" s="270" t="s">
        <v>168</v>
      </c>
      <c r="B8" s="271" t="s">
        <v>166</v>
      </c>
      <c r="C8" s="320" t="s">
        <v>167</v>
      </c>
      <c r="D8" s="324">
        <v>1219.9000000000001</v>
      </c>
      <c r="E8" s="324">
        <v>1134.2</v>
      </c>
      <c r="F8" s="324">
        <v>494.1</v>
      </c>
      <c r="G8" s="324">
        <v>2146.1</v>
      </c>
      <c r="H8" s="324">
        <v>83.2</v>
      </c>
      <c r="I8" s="324">
        <v>178.7</v>
      </c>
      <c r="J8" s="324">
        <v>708.1</v>
      </c>
      <c r="K8" s="584"/>
      <c r="L8" s="324">
        <v>6751.5</v>
      </c>
      <c r="M8" s="324">
        <v>7755.3</v>
      </c>
      <c r="N8" s="324">
        <v>13134.4</v>
      </c>
      <c r="O8" s="324">
        <v>1717.1</v>
      </c>
      <c r="P8" s="324">
        <v>1533.2</v>
      </c>
      <c r="Q8" s="324">
        <v>2217.4</v>
      </c>
      <c r="R8" s="324">
        <v>7089</v>
      </c>
      <c r="T8" s="280" t="s">
        <v>168</v>
      </c>
      <c r="AK8" s="280" t="s">
        <v>168</v>
      </c>
      <c r="AL8" s="319"/>
      <c r="AM8" s="319"/>
      <c r="AN8" s="319"/>
      <c r="AO8" s="319"/>
      <c r="AP8" s="319"/>
      <c r="AQ8" s="319"/>
      <c r="AR8" s="319"/>
      <c r="AS8" s="319"/>
      <c r="AT8" s="319"/>
      <c r="AU8" s="319"/>
      <c r="AV8" s="319"/>
      <c r="AW8" s="319"/>
      <c r="AX8" s="319"/>
      <c r="AY8" s="319"/>
      <c r="AZ8" s="319"/>
      <c r="BB8" s="280" t="s">
        <v>168</v>
      </c>
      <c r="BC8" s="319"/>
      <c r="BD8" s="319"/>
      <c r="BE8" s="319"/>
      <c r="BF8" s="319"/>
      <c r="BG8" s="319"/>
      <c r="BH8" s="319"/>
      <c r="BI8" s="319"/>
      <c r="BJ8" s="319"/>
      <c r="BK8" s="319"/>
      <c r="BL8" s="319"/>
      <c r="BM8" s="319"/>
      <c r="BN8" s="319"/>
      <c r="BO8" s="319"/>
      <c r="BP8" s="319"/>
      <c r="BQ8" s="319"/>
    </row>
    <row r="9" spans="1:71" ht="24.95" customHeight="1" x14ac:dyDescent="0.25">
      <c r="A9" s="270" t="s">
        <v>169</v>
      </c>
      <c r="B9" s="271" t="s">
        <v>170</v>
      </c>
      <c r="C9" s="320" t="s">
        <v>162</v>
      </c>
      <c r="D9" s="300">
        <v>48.4</v>
      </c>
      <c r="E9" s="300">
        <v>46.7</v>
      </c>
      <c r="F9" s="300">
        <v>66.599999999999994</v>
      </c>
      <c r="G9" s="300">
        <v>49.7</v>
      </c>
      <c r="H9" s="300">
        <v>0.3</v>
      </c>
      <c r="I9" s="300">
        <v>1.5</v>
      </c>
      <c r="J9" s="300">
        <v>0.6</v>
      </c>
      <c r="K9" s="584"/>
      <c r="L9" s="300">
        <v>40.1</v>
      </c>
      <c r="M9" s="313">
        <v>42.6</v>
      </c>
      <c r="N9" s="300">
        <v>40.799999999999997</v>
      </c>
      <c r="O9" s="300">
        <v>37.5</v>
      </c>
      <c r="P9" s="300">
        <v>38.9</v>
      </c>
      <c r="Q9" s="300">
        <v>44.2</v>
      </c>
      <c r="R9" s="300">
        <v>30.9</v>
      </c>
      <c r="T9" s="280" t="s">
        <v>233</v>
      </c>
      <c r="U9" s="319">
        <v>36.299999999999997</v>
      </c>
      <c r="V9" s="319">
        <v>52.8</v>
      </c>
      <c r="W9" s="319">
        <v>75.599999999999994</v>
      </c>
      <c r="X9" s="319">
        <v>41</v>
      </c>
      <c r="Y9" s="319">
        <v>1.18</v>
      </c>
      <c r="Z9" s="319">
        <v>1.24</v>
      </c>
      <c r="AA9" s="319">
        <v>4</v>
      </c>
      <c r="AC9" s="319">
        <v>40.9</v>
      </c>
      <c r="AD9" s="319">
        <v>40.9</v>
      </c>
      <c r="AE9" s="319">
        <v>40.9</v>
      </c>
      <c r="AF9" s="319">
        <v>34.200000000000003</v>
      </c>
      <c r="AG9" s="319">
        <v>37.5</v>
      </c>
      <c r="AH9" s="319">
        <v>44.3</v>
      </c>
      <c r="AI9" s="319">
        <v>21.1</v>
      </c>
      <c r="AK9" s="280" t="s">
        <v>233</v>
      </c>
      <c r="AL9" s="319">
        <f t="shared" ref="AL9:AR11" si="5">U9+((20/100)*U9)</f>
        <v>43.559999999999995</v>
      </c>
      <c r="AM9" s="319">
        <f t="shared" si="5"/>
        <v>63.36</v>
      </c>
      <c r="AN9" s="319">
        <f t="shared" si="5"/>
        <v>90.72</v>
      </c>
      <c r="AO9" s="319">
        <f t="shared" si="5"/>
        <v>49.2</v>
      </c>
      <c r="AP9" s="319">
        <f t="shared" si="5"/>
        <v>1.4159999999999999</v>
      </c>
      <c r="AQ9" s="319">
        <f t="shared" si="5"/>
        <v>1.488</v>
      </c>
      <c r="AR9" s="319">
        <f t="shared" si="5"/>
        <v>4.8</v>
      </c>
      <c r="AS9" s="319"/>
      <c r="AT9" s="319">
        <f t="shared" ref="AT9:AZ11" si="6">AC9+((20/100)*AC9)</f>
        <v>49.08</v>
      </c>
      <c r="AU9" s="319">
        <f t="shared" si="6"/>
        <v>49.08</v>
      </c>
      <c r="AV9" s="319">
        <f t="shared" si="6"/>
        <v>49.08</v>
      </c>
      <c r="AW9" s="319">
        <f t="shared" si="6"/>
        <v>41.040000000000006</v>
      </c>
      <c r="AX9" s="319">
        <f t="shared" si="6"/>
        <v>45</v>
      </c>
      <c r="AY9" s="319">
        <f t="shared" si="6"/>
        <v>53.16</v>
      </c>
      <c r="AZ9" s="319">
        <f t="shared" si="6"/>
        <v>25.32</v>
      </c>
      <c r="BB9" s="280" t="s">
        <v>233</v>
      </c>
      <c r="BC9" s="322">
        <f t="shared" ref="BC9:BQ11" si="7">U9-((20/100)*U9)</f>
        <v>29.04</v>
      </c>
      <c r="BD9" s="322">
        <f t="shared" si="7"/>
        <v>42.239999999999995</v>
      </c>
      <c r="BE9" s="322">
        <f t="shared" si="7"/>
        <v>60.48</v>
      </c>
      <c r="BF9" s="322">
        <f t="shared" si="7"/>
        <v>32.799999999999997</v>
      </c>
      <c r="BG9" s="322">
        <f t="shared" si="7"/>
        <v>0.94399999999999995</v>
      </c>
      <c r="BH9" s="322">
        <f t="shared" si="7"/>
        <v>0.99199999999999999</v>
      </c>
      <c r="BI9" s="322">
        <f t="shared" si="7"/>
        <v>3.2</v>
      </c>
      <c r="BJ9" s="322">
        <f t="shared" si="7"/>
        <v>0</v>
      </c>
      <c r="BK9" s="322">
        <f t="shared" si="7"/>
        <v>32.72</v>
      </c>
      <c r="BL9" s="322">
        <f t="shared" si="7"/>
        <v>32.72</v>
      </c>
      <c r="BM9" s="322">
        <f t="shared" si="7"/>
        <v>32.72</v>
      </c>
      <c r="BN9" s="322">
        <f t="shared" si="7"/>
        <v>27.360000000000003</v>
      </c>
      <c r="BO9" s="322">
        <f t="shared" si="7"/>
        <v>30</v>
      </c>
      <c r="BP9" s="322">
        <f t="shared" si="7"/>
        <v>35.44</v>
      </c>
      <c r="BQ9" s="322">
        <f t="shared" si="7"/>
        <v>16.880000000000003</v>
      </c>
    </row>
    <row r="10" spans="1:71" ht="24.95" customHeight="1" x14ac:dyDescent="0.25">
      <c r="A10" s="270" t="s">
        <v>171</v>
      </c>
      <c r="B10" s="271"/>
      <c r="C10" s="320" t="s">
        <v>162</v>
      </c>
      <c r="D10" s="313">
        <v>0.48</v>
      </c>
      <c r="E10" s="313">
        <v>0.59</v>
      </c>
      <c r="F10" s="301">
        <v>0.55000000000000004</v>
      </c>
      <c r="G10" s="313">
        <v>1.94</v>
      </c>
      <c r="H10" s="313">
        <v>0.1</v>
      </c>
      <c r="I10" s="313">
        <v>0.14000000000000001</v>
      </c>
      <c r="J10" s="300">
        <v>0.1</v>
      </c>
      <c r="K10" s="584"/>
      <c r="L10" s="300">
        <v>3.21</v>
      </c>
      <c r="M10" s="313">
        <v>1.18</v>
      </c>
      <c r="N10" s="313">
        <v>1.43</v>
      </c>
      <c r="O10" s="313">
        <v>0.43</v>
      </c>
      <c r="P10" s="313">
        <v>0.42</v>
      </c>
      <c r="Q10" s="313">
        <v>0.47</v>
      </c>
      <c r="R10" s="313">
        <v>2.1</v>
      </c>
      <c r="T10" s="280" t="s">
        <v>171</v>
      </c>
      <c r="U10" s="319">
        <v>0.08</v>
      </c>
      <c r="V10" s="319">
        <v>0.71</v>
      </c>
      <c r="W10" s="319">
        <v>0.03</v>
      </c>
      <c r="X10" s="319">
        <v>1.98</v>
      </c>
      <c r="AA10" s="319">
        <v>0.51</v>
      </c>
      <c r="AC10" s="319">
        <v>2</v>
      </c>
      <c r="AD10" s="319">
        <v>2</v>
      </c>
      <c r="AE10" s="319">
        <v>2</v>
      </c>
      <c r="AF10" s="319">
        <v>0.11</v>
      </c>
      <c r="AG10" s="319">
        <v>0.19</v>
      </c>
      <c r="AH10" s="319">
        <v>0.76</v>
      </c>
      <c r="AI10" s="319">
        <v>1.4</v>
      </c>
      <c r="AK10" s="280" t="s">
        <v>171</v>
      </c>
      <c r="AL10" s="319">
        <f t="shared" si="5"/>
        <v>9.6000000000000002E-2</v>
      </c>
      <c r="AM10" s="319">
        <f t="shared" si="5"/>
        <v>0.85199999999999998</v>
      </c>
      <c r="AN10" s="319">
        <f t="shared" si="5"/>
        <v>3.5999999999999997E-2</v>
      </c>
      <c r="AO10" s="319">
        <f t="shared" si="5"/>
        <v>2.3759999999999999</v>
      </c>
      <c r="AP10" s="319">
        <f t="shared" si="5"/>
        <v>0</v>
      </c>
      <c r="AQ10" s="319">
        <f t="shared" si="5"/>
        <v>0</v>
      </c>
      <c r="AR10" s="319">
        <f t="shared" si="5"/>
        <v>0.61199999999999999</v>
      </c>
      <c r="AS10" s="319"/>
      <c r="AT10" s="319">
        <f t="shared" si="6"/>
        <v>2.4</v>
      </c>
      <c r="AU10" s="319">
        <f t="shared" si="6"/>
        <v>2.4</v>
      </c>
      <c r="AV10" s="319">
        <f t="shared" si="6"/>
        <v>2.4</v>
      </c>
      <c r="AW10" s="319">
        <f t="shared" si="6"/>
        <v>0.13200000000000001</v>
      </c>
      <c r="AX10" s="319">
        <f t="shared" si="6"/>
        <v>0.22800000000000001</v>
      </c>
      <c r="AY10" s="319">
        <f t="shared" si="6"/>
        <v>0.91200000000000003</v>
      </c>
      <c r="AZ10" s="319">
        <f t="shared" si="6"/>
        <v>1.68</v>
      </c>
      <c r="BB10" s="280" t="s">
        <v>171</v>
      </c>
      <c r="BC10" s="322">
        <f t="shared" si="7"/>
        <v>6.4000000000000001E-2</v>
      </c>
      <c r="BD10" s="322">
        <f t="shared" si="7"/>
        <v>0.56799999999999995</v>
      </c>
      <c r="BE10" s="322">
        <f t="shared" si="7"/>
        <v>2.4E-2</v>
      </c>
      <c r="BF10" s="322">
        <f t="shared" si="7"/>
        <v>1.5840000000000001</v>
      </c>
      <c r="BG10" s="322">
        <f t="shared" si="7"/>
        <v>0</v>
      </c>
      <c r="BH10" s="322">
        <f t="shared" si="7"/>
        <v>0</v>
      </c>
      <c r="BI10" s="322">
        <f t="shared" si="7"/>
        <v>0.40800000000000003</v>
      </c>
      <c r="BJ10" s="322">
        <f t="shared" si="7"/>
        <v>0</v>
      </c>
      <c r="BK10" s="322">
        <f t="shared" si="7"/>
        <v>1.6</v>
      </c>
      <c r="BL10" s="322">
        <f t="shared" si="7"/>
        <v>1.6</v>
      </c>
      <c r="BM10" s="322">
        <f t="shared" si="7"/>
        <v>1.6</v>
      </c>
      <c r="BN10" s="322">
        <f t="shared" si="7"/>
        <v>8.7999999999999995E-2</v>
      </c>
      <c r="BO10" s="322">
        <f t="shared" si="7"/>
        <v>0.152</v>
      </c>
      <c r="BP10" s="322">
        <f t="shared" si="7"/>
        <v>0.60799999999999998</v>
      </c>
      <c r="BQ10" s="322">
        <f t="shared" si="7"/>
        <v>1.1199999999999999</v>
      </c>
    </row>
    <row r="11" spans="1:71" ht="30" x14ac:dyDescent="0.25">
      <c r="A11" s="270" t="s">
        <v>173</v>
      </c>
      <c r="B11" s="271" t="s">
        <v>172</v>
      </c>
      <c r="C11" s="325" t="s">
        <v>174</v>
      </c>
      <c r="D11" s="326">
        <v>100.83333333333333</v>
      </c>
      <c r="E11" s="326">
        <v>79.152542372881371</v>
      </c>
      <c r="F11" s="326">
        <v>121.09090909090907</v>
      </c>
      <c r="G11" s="326">
        <v>25.618556701030929</v>
      </c>
      <c r="H11" s="326">
        <v>2.9999999999999996</v>
      </c>
      <c r="I11" s="326">
        <v>10.714285714285714</v>
      </c>
      <c r="J11" s="326">
        <v>5.9999999999999991</v>
      </c>
      <c r="K11" s="584"/>
      <c r="L11" s="326">
        <v>12.492211838006231</v>
      </c>
      <c r="M11" s="326">
        <v>36.101694915254242</v>
      </c>
      <c r="N11" s="326">
        <v>28.53146853146853</v>
      </c>
      <c r="O11" s="326">
        <v>87.20930232558139</v>
      </c>
      <c r="P11" s="326">
        <v>92.61904761904762</v>
      </c>
      <c r="Q11" s="326">
        <v>94.042553191489375</v>
      </c>
      <c r="R11" s="326">
        <v>14.714285714285714</v>
      </c>
      <c r="T11" s="280" t="s">
        <v>234</v>
      </c>
      <c r="U11" s="319">
        <v>453.8</v>
      </c>
      <c r="V11" s="319">
        <v>74.400000000000006</v>
      </c>
      <c r="W11" s="319">
        <v>2520</v>
      </c>
      <c r="X11" s="319">
        <v>20.7</v>
      </c>
      <c r="AA11" s="319">
        <v>7.8</v>
      </c>
      <c r="AC11" s="319">
        <v>20.5</v>
      </c>
      <c r="AD11" s="319">
        <v>20.5</v>
      </c>
      <c r="AE11" s="319">
        <v>20.5</v>
      </c>
      <c r="AF11" s="319">
        <v>310.89999999999998</v>
      </c>
      <c r="AG11" s="319">
        <v>197.4</v>
      </c>
      <c r="AH11" s="319">
        <v>58.3</v>
      </c>
      <c r="AI11" s="319">
        <v>15.1</v>
      </c>
      <c r="AK11" s="280" t="s">
        <v>234</v>
      </c>
      <c r="AL11" s="319">
        <f t="shared" si="5"/>
        <v>544.56000000000006</v>
      </c>
      <c r="AM11" s="319">
        <f t="shared" si="5"/>
        <v>89.28</v>
      </c>
      <c r="AN11" s="319">
        <f t="shared" si="5"/>
        <v>3024</v>
      </c>
      <c r="AO11" s="319">
        <f t="shared" si="5"/>
        <v>24.84</v>
      </c>
      <c r="AP11" s="319">
        <f t="shared" si="5"/>
        <v>0</v>
      </c>
      <c r="AQ11" s="319">
        <f t="shared" si="5"/>
        <v>0</v>
      </c>
      <c r="AR11" s="319">
        <f t="shared" si="5"/>
        <v>9.36</v>
      </c>
      <c r="AS11" s="319"/>
      <c r="AT11" s="319">
        <f t="shared" si="6"/>
        <v>24.6</v>
      </c>
      <c r="AU11" s="319">
        <f t="shared" si="6"/>
        <v>24.6</v>
      </c>
      <c r="AV11" s="319">
        <f t="shared" si="6"/>
        <v>24.6</v>
      </c>
      <c r="AW11" s="319">
        <f t="shared" si="6"/>
        <v>373.08</v>
      </c>
      <c r="AX11" s="319">
        <f t="shared" si="6"/>
        <v>236.88</v>
      </c>
      <c r="AY11" s="319">
        <f t="shared" si="6"/>
        <v>69.959999999999994</v>
      </c>
      <c r="AZ11" s="319">
        <f t="shared" si="6"/>
        <v>18.12</v>
      </c>
      <c r="BB11" s="280" t="s">
        <v>234</v>
      </c>
      <c r="BC11" s="322">
        <f t="shared" si="7"/>
        <v>363.04</v>
      </c>
      <c r="BD11" s="322">
        <f t="shared" si="7"/>
        <v>59.52</v>
      </c>
      <c r="BE11" s="322">
        <f t="shared" si="7"/>
        <v>2016</v>
      </c>
      <c r="BF11" s="322">
        <f t="shared" si="7"/>
        <v>16.559999999999999</v>
      </c>
      <c r="BG11" s="322">
        <f t="shared" si="7"/>
        <v>0</v>
      </c>
      <c r="BH11" s="322">
        <f t="shared" si="7"/>
        <v>0</v>
      </c>
      <c r="BI11" s="322">
        <f t="shared" si="7"/>
        <v>6.24</v>
      </c>
      <c r="BJ11" s="322">
        <f t="shared" si="7"/>
        <v>0</v>
      </c>
      <c r="BK11" s="322">
        <f t="shared" si="7"/>
        <v>16.399999999999999</v>
      </c>
      <c r="BL11" s="322">
        <f t="shared" si="7"/>
        <v>16.399999999999999</v>
      </c>
      <c r="BM11" s="322">
        <f t="shared" si="7"/>
        <v>16.399999999999999</v>
      </c>
      <c r="BN11" s="322">
        <f t="shared" si="7"/>
        <v>248.71999999999997</v>
      </c>
      <c r="BO11" s="322">
        <f t="shared" si="7"/>
        <v>157.92000000000002</v>
      </c>
      <c r="BP11" s="322">
        <f t="shared" si="7"/>
        <v>46.64</v>
      </c>
      <c r="BQ11" s="322">
        <f t="shared" si="7"/>
        <v>12.08</v>
      </c>
    </row>
    <row r="12" spans="1:71" ht="24.95" customHeight="1" x14ac:dyDescent="0.25">
      <c r="A12" s="270" t="s">
        <v>175</v>
      </c>
      <c r="B12" s="568" t="s">
        <v>176</v>
      </c>
      <c r="C12" s="320" t="s">
        <v>167</v>
      </c>
      <c r="D12" s="304">
        <v>711</v>
      </c>
      <c r="E12" s="304">
        <v>1407</v>
      </c>
      <c r="F12" s="304">
        <v>250</v>
      </c>
      <c r="G12" s="304">
        <v>1926</v>
      </c>
      <c r="H12" s="304">
        <v>178</v>
      </c>
      <c r="I12" s="304">
        <v>98</v>
      </c>
      <c r="J12" s="304">
        <v>153</v>
      </c>
      <c r="K12" s="584"/>
      <c r="L12" s="304">
        <v>1905</v>
      </c>
      <c r="M12" s="304">
        <v>1473</v>
      </c>
      <c r="N12" s="304">
        <v>1549</v>
      </c>
      <c r="O12" s="304">
        <v>608</v>
      </c>
      <c r="P12" s="304">
        <v>872</v>
      </c>
      <c r="Q12" s="304">
        <v>587</v>
      </c>
      <c r="R12" s="304">
        <v>2287</v>
      </c>
      <c r="T12" s="280" t="s">
        <v>175</v>
      </c>
      <c r="U12" s="319">
        <v>900</v>
      </c>
      <c r="V12" s="327">
        <v>1300</v>
      </c>
      <c r="W12" s="327">
        <v>1000</v>
      </c>
      <c r="X12" s="327">
        <v>5500</v>
      </c>
      <c r="AA12" s="327">
        <v>3500</v>
      </c>
      <c r="AC12" s="319">
        <v>3700</v>
      </c>
      <c r="AD12" s="319">
        <v>3700</v>
      </c>
      <c r="AE12" s="319">
        <v>3700</v>
      </c>
      <c r="AF12" s="319">
        <v>800</v>
      </c>
      <c r="AG12" s="319">
        <v>900</v>
      </c>
      <c r="AH12" s="319">
        <v>700</v>
      </c>
      <c r="AI12" s="327">
        <v>2800</v>
      </c>
      <c r="AK12" s="280" t="s">
        <v>175</v>
      </c>
      <c r="AL12" s="319">
        <f t="shared" ref="AL12:AZ23" si="8">U12*2</f>
        <v>1800</v>
      </c>
      <c r="AM12" s="319">
        <f t="shared" si="8"/>
        <v>2600</v>
      </c>
      <c r="AN12" s="319">
        <f t="shared" si="8"/>
        <v>2000</v>
      </c>
      <c r="AO12" s="319">
        <f t="shared" si="8"/>
        <v>11000</v>
      </c>
      <c r="AP12" s="319">
        <f t="shared" si="8"/>
        <v>0</v>
      </c>
      <c r="AQ12" s="319">
        <f t="shared" si="8"/>
        <v>0</v>
      </c>
      <c r="AR12" s="319">
        <f t="shared" si="8"/>
        <v>7000</v>
      </c>
      <c r="AS12" s="319">
        <f t="shared" si="8"/>
        <v>0</v>
      </c>
      <c r="AT12" s="319">
        <f t="shared" si="8"/>
        <v>7400</v>
      </c>
      <c r="AU12" s="319">
        <f t="shared" si="8"/>
        <v>7400</v>
      </c>
      <c r="AV12" s="319">
        <f t="shared" si="8"/>
        <v>7400</v>
      </c>
      <c r="AW12" s="319">
        <f t="shared" si="8"/>
        <v>1600</v>
      </c>
      <c r="AX12" s="319">
        <f t="shared" si="8"/>
        <v>1800</v>
      </c>
      <c r="AY12" s="319">
        <f t="shared" si="8"/>
        <v>1400</v>
      </c>
      <c r="AZ12" s="319">
        <f t="shared" si="8"/>
        <v>5600</v>
      </c>
      <c r="BB12" s="280" t="s">
        <v>175</v>
      </c>
      <c r="BC12" s="319">
        <f>U12/2</f>
        <v>450</v>
      </c>
      <c r="BD12" s="319">
        <f t="shared" ref="BD12:BQ23" si="9">V12-((50/100)*V12)</f>
        <v>650</v>
      </c>
      <c r="BE12" s="319">
        <f t="shared" si="9"/>
        <v>500</v>
      </c>
      <c r="BF12" s="319">
        <f t="shared" si="9"/>
        <v>2750</v>
      </c>
      <c r="BG12" s="319">
        <f t="shared" si="9"/>
        <v>0</v>
      </c>
      <c r="BH12" s="319">
        <f t="shared" si="9"/>
        <v>0</v>
      </c>
      <c r="BI12" s="319">
        <f t="shared" si="9"/>
        <v>1750</v>
      </c>
      <c r="BJ12" s="319">
        <f t="shared" si="9"/>
        <v>0</v>
      </c>
      <c r="BK12" s="319">
        <f t="shared" si="9"/>
        <v>1850</v>
      </c>
      <c r="BL12" s="319">
        <f t="shared" si="9"/>
        <v>1850</v>
      </c>
      <c r="BM12" s="319">
        <f t="shared" si="9"/>
        <v>1850</v>
      </c>
      <c r="BN12" s="319">
        <f t="shared" si="9"/>
        <v>400</v>
      </c>
      <c r="BO12" s="319">
        <f t="shared" si="9"/>
        <v>450</v>
      </c>
      <c r="BP12" s="319">
        <f t="shared" si="9"/>
        <v>350</v>
      </c>
      <c r="BQ12" s="319">
        <f t="shared" si="9"/>
        <v>1400</v>
      </c>
    </row>
    <row r="13" spans="1:71" ht="24.75" customHeight="1" x14ac:dyDescent="0.25">
      <c r="A13" s="270" t="s">
        <v>177</v>
      </c>
      <c r="B13" s="569"/>
      <c r="C13" s="320" t="s">
        <v>167</v>
      </c>
      <c r="D13" s="304">
        <v>1891</v>
      </c>
      <c r="E13" s="304">
        <v>2229</v>
      </c>
      <c r="F13" s="304">
        <v>6510</v>
      </c>
      <c r="G13" s="304">
        <v>2416</v>
      </c>
      <c r="H13" s="304">
        <v>612</v>
      </c>
      <c r="I13" s="304" t="s">
        <v>235</v>
      </c>
      <c r="J13" s="304">
        <v>292</v>
      </c>
      <c r="K13" s="584"/>
      <c r="L13" s="304">
        <v>10322</v>
      </c>
      <c r="M13" s="304">
        <v>3039</v>
      </c>
      <c r="N13" s="304">
        <v>2228</v>
      </c>
      <c r="O13" s="304">
        <v>2659</v>
      </c>
      <c r="P13" s="304">
        <v>3084</v>
      </c>
      <c r="Q13" s="304">
        <v>3256</v>
      </c>
      <c r="R13" s="304">
        <v>6219</v>
      </c>
      <c r="T13" s="280" t="s">
        <v>177</v>
      </c>
      <c r="U13" s="327">
        <v>2706</v>
      </c>
      <c r="V13" s="327">
        <v>1515</v>
      </c>
      <c r="W13" s="327">
        <v>1970</v>
      </c>
      <c r="X13" s="327">
        <v>6676</v>
      </c>
      <c r="AA13" s="327">
        <v>1533</v>
      </c>
      <c r="AC13" s="319">
        <v>5858</v>
      </c>
      <c r="AD13" s="319">
        <v>5858</v>
      </c>
      <c r="AE13" s="319">
        <v>5858</v>
      </c>
      <c r="AF13" s="319">
        <v>1908</v>
      </c>
      <c r="AG13" s="327">
        <v>1725</v>
      </c>
      <c r="AH13" s="327">
        <v>4466</v>
      </c>
      <c r="AI13" s="327">
        <v>4093</v>
      </c>
      <c r="AK13" s="280" t="s">
        <v>177</v>
      </c>
      <c r="AL13" s="319">
        <f t="shared" si="8"/>
        <v>5412</v>
      </c>
      <c r="AM13" s="319">
        <f t="shared" si="8"/>
        <v>3030</v>
      </c>
      <c r="AN13" s="319">
        <f t="shared" si="8"/>
        <v>3940</v>
      </c>
      <c r="AO13" s="319">
        <f t="shared" si="8"/>
        <v>13352</v>
      </c>
      <c r="AP13" s="319">
        <f t="shared" si="8"/>
        <v>0</v>
      </c>
      <c r="AQ13" s="319">
        <f t="shared" si="8"/>
        <v>0</v>
      </c>
      <c r="AR13" s="319">
        <f t="shared" si="8"/>
        <v>3066</v>
      </c>
      <c r="AS13" s="319">
        <f t="shared" si="8"/>
        <v>0</v>
      </c>
      <c r="AT13" s="319">
        <f t="shared" si="8"/>
        <v>11716</v>
      </c>
      <c r="AU13" s="319">
        <f t="shared" si="8"/>
        <v>11716</v>
      </c>
      <c r="AV13" s="319">
        <f t="shared" si="8"/>
        <v>11716</v>
      </c>
      <c r="AW13" s="319">
        <f t="shared" si="8"/>
        <v>3816</v>
      </c>
      <c r="AX13" s="319">
        <f t="shared" si="8"/>
        <v>3450</v>
      </c>
      <c r="AY13" s="319">
        <f t="shared" si="8"/>
        <v>8932</v>
      </c>
      <c r="AZ13" s="319">
        <f t="shared" si="8"/>
        <v>8186</v>
      </c>
      <c r="BB13" s="280" t="s">
        <v>177</v>
      </c>
      <c r="BC13" s="319">
        <f t="shared" ref="BC13:BC23" si="10">U13/2</f>
        <v>1353</v>
      </c>
      <c r="BD13" s="319">
        <f t="shared" si="9"/>
        <v>757.5</v>
      </c>
      <c r="BE13" s="319">
        <f t="shared" si="9"/>
        <v>985</v>
      </c>
      <c r="BF13" s="319">
        <f t="shared" si="9"/>
        <v>3338</v>
      </c>
      <c r="BG13" s="319">
        <f t="shared" si="9"/>
        <v>0</v>
      </c>
      <c r="BH13" s="319">
        <f t="shared" si="9"/>
        <v>0</v>
      </c>
      <c r="BI13" s="319">
        <f t="shared" si="9"/>
        <v>766.5</v>
      </c>
      <c r="BJ13" s="319">
        <f t="shared" si="9"/>
        <v>0</v>
      </c>
      <c r="BK13" s="319">
        <f t="shared" si="9"/>
        <v>2929</v>
      </c>
      <c r="BL13" s="319">
        <f t="shared" si="9"/>
        <v>2929</v>
      </c>
      <c r="BM13" s="319">
        <f t="shared" si="9"/>
        <v>2929</v>
      </c>
      <c r="BN13" s="319">
        <f t="shared" si="9"/>
        <v>954</v>
      </c>
      <c r="BO13" s="319">
        <f t="shared" si="9"/>
        <v>862.5</v>
      </c>
      <c r="BP13" s="319">
        <f t="shared" si="9"/>
        <v>2233</v>
      </c>
      <c r="BQ13" s="319">
        <f t="shared" si="9"/>
        <v>2046.5</v>
      </c>
    </row>
    <row r="14" spans="1:71" ht="24.75" customHeight="1" x14ac:dyDescent="0.25">
      <c r="A14" s="270" t="s">
        <v>178</v>
      </c>
      <c r="B14" s="570"/>
      <c r="C14" s="320" t="s">
        <v>167</v>
      </c>
      <c r="D14" s="328">
        <v>118</v>
      </c>
      <c r="E14" s="328">
        <v>22</v>
      </c>
      <c r="F14" s="300">
        <v>50</v>
      </c>
      <c r="G14" s="328">
        <v>166</v>
      </c>
      <c r="H14" s="328">
        <v>43</v>
      </c>
      <c r="I14" s="300">
        <v>1492</v>
      </c>
      <c r="J14" s="328">
        <v>41</v>
      </c>
      <c r="K14" s="584"/>
      <c r="L14" s="328">
        <v>29</v>
      </c>
      <c r="M14" s="313">
        <v>66</v>
      </c>
      <c r="N14" s="300">
        <v>69</v>
      </c>
      <c r="O14" s="300">
        <v>45</v>
      </c>
      <c r="P14" s="328">
        <v>35</v>
      </c>
      <c r="Q14" s="328">
        <v>23</v>
      </c>
      <c r="R14" s="300">
        <v>79</v>
      </c>
      <c r="T14" s="280" t="s">
        <v>178</v>
      </c>
      <c r="U14" s="319">
        <v>38.5</v>
      </c>
      <c r="V14" s="319">
        <v>582</v>
      </c>
      <c r="W14" s="319">
        <v>48.1</v>
      </c>
      <c r="X14" s="319">
        <v>173</v>
      </c>
      <c r="AA14" s="319">
        <v>18.5</v>
      </c>
      <c r="AC14" s="319">
        <v>29.6</v>
      </c>
      <c r="AD14" s="319">
        <v>29.6</v>
      </c>
      <c r="AE14" s="319">
        <v>29.6</v>
      </c>
      <c r="AF14" s="319">
        <v>62</v>
      </c>
      <c r="AG14" s="319">
        <v>51.3</v>
      </c>
      <c r="AH14" s="319">
        <v>24.6</v>
      </c>
      <c r="AI14" s="319">
        <v>342</v>
      </c>
      <c r="AK14" s="280" t="s">
        <v>178</v>
      </c>
      <c r="AL14" s="319">
        <f t="shared" si="8"/>
        <v>77</v>
      </c>
      <c r="AM14" s="319">
        <f t="shared" si="8"/>
        <v>1164</v>
      </c>
      <c r="AN14" s="319">
        <f t="shared" si="8"/>
        <v>96.2</v>
      </c>
      <c r="AO14" s="319">
        <f t="shared" si="8"/>
        <v>346</v>
      </c>
      <c r="AP14" s="319">
        <f t="shared" si="8"/>
        <v>0</v>
      </c>
      <c r="AQ14" s="319">
        <f t="shared" si="8"/>
        <v>0</v>
      </c>
      <c r="AR14" s="319">
        <f t="shared" si="8"/>
        <v>37</v>
      </c>
      <c r="AS14" s="319">
        <f t="shared" si="8"/>
        <v>0</v>
      </c>
      <c r="AT14" s="319">
        <f t="shared" si="8"/>
        <v>59.2</v>
      </c>
      <c r="AU14" s="319">
        <f t="shared" si="8"/>
        <v>59.2</v>
      </c>
      <c r="AV14" s="319">
        <f t="shared" si="8"/>
        <v>59.2</v>
      </c>
      <c r="AW14" s="319">
        <f t="shared" si="8"/>
        <v>124</v>
      </c>
      <c r="AX14" s="319">
        <f t="shared" si="8"/>
        <v>102.6</v>
      </c>
      <c r="AY14" s="319">
        <f t="shared" si="8"/>
        <v>49.2</v>
      </c>
      <c r="AZ14" s="319">
        <f t="shared" si="8"/>
        <v>684</v>
      </c>
      <c r="BB14" s="280" t="s">
        <v>178</v>
      </c>
      <c r="BC14" s="319">
        <f t="shared" si="10"/>
        <v>19.25</v>
      </c>
      <c r="BD14" s="319">
        <f t="shared" si="9"/>
        <v>291</v>
      </c>
      <c r="BE14" s="319">
        <f t="shared" si="9"/>
        <v>24.05</v>
      </c>
      <c r="BF14" s="319">
        <f t="shared" si="9"/>
        <v>86.5</v>
      </c>
      <c r="BG14" s="319">
        <f t="shared" si="9"/>
        <v>0</v>
      </c>
      <c r="BH14" s="319">
        <f t="shared" si="9"/>
        <v>0</v>
      </c>
      <c r="BI14" s="319">
        <f t="shared" si="9"/>
        <v>9.25</v>
      </c>
      <c r="BJ14" s="319">
        <f t="shared" si="9"/>
        <v>0</v>
      </c>
      <c r="BK14" s="319">
        <f t="shared" si="9"/>
        <v>14.8</v>
      </c>
      <c r="BL14" s="319">
        <f t="shared" si="9"/>
        <v>14.8</v>
      </c>
      <c r="BM14" s="319">
        <f t="shared" si="9"/>
        <v>14.8</v>
      </c>
      <c r="BN14" s="319">
        <f t="shared" si="9"/>
        <v>31</v>
      </c>
      <c r="BO14" s="319">
        <f t="shared" si="9"/>
        <v>25.65</v>
      </c>
      <c r="BP14" s="319">
        <f t="shared" si="9"/>
        <v>12.3</v>
      </c>
      <c r="BQ14" s="319">
        <f t="shared" si="9"/>
        <v>171</v>
      </c>
    </row>
    <row r="15" spans="1:71" ht="24.75" customHeight="1" x14ac:dyDescent="0.25">
      <c r="A15" s="270" t="s">
        <v>179</v>
      </c>
      <c r="B15" s="271" t="s">
        <v>166</v>
      </c>
      <c r="C15" s="320" t="s">
        <v>167</v>
      </c>
      <c r="D15" s="300">
        <v>4.0999999999999996</v>
      </c>
      <c r="E15" s="300">
        <v>4.9000000000000004</v>
      </c>
      <c r="F15" s="300">
        <v>2.2999999999999998</v>
      </c>
      <c r="G15" s="300">
        <v>21.8</v>
      </c>
      <c r="H15" s="300">
        <v>1.1000000000000001</v>
      </c>
      <c r="I15" s="300">
        <v>9.1</v>
      </c>
      <c r="J15" s="300">
        <v>101</v>
      </c>
      <c r="K15" s="584"/>
      <c r="L15" s="300">
        <v>3</v>
      </c>
      <c r="M15" s="313">
        <v>2.7</v>
      </c>
      <c r="N15" s="300">
        <v>14.8</v>
      </c>
      <c r="O15" s="300">
        <v>5.4</v>
      </c>
      <c r="P15" s="300">
        <v>7.7</v>
      </c>
      <c r="Q15" s="300">
        <v>4.4000000000000004</v>
      </c>
      <c r="R15" s="300">
        <v>26.7</v>
      </c>
      <c r="T15" s="280" t="s">
        <v>179</v>
      </c>
      <c r="AK15" s="280" t="s">
        <v>179</v>
      </c>
      <c r="AL15" s="329"/>
      <c r="AM15" s="329"/>
      <c r="AN15" s="329"/>
      <c r="AO15" s="329"/>
      <c r="AP15" s="329"/>
      <c r="AQ15" s="329"/>
      <c r="AR15" s="329"/>
      <c r="AS15" s="329"/>
      <c r="AT15" s="329"/>
      <c r="AU15" s="329"/>
      <c r="AV15" s="329"/>
      <c r="AW15" s="329"/>
      <c r="AX15" s="329"/>
      <c r="AY15" s="329"/>
      <c r="AZ15" s="329"/>
      <c r="BB15" s="280" t="s">
        <v>179</v>
      </c>
      <c r="BC15" s="319"/>
      <c r="BD15" s="319"/>
      <c r="BE15" s="319"/>
      <c r="BF15" s="319"/>
      <c r="BG15" s="319"/>
      <c r="BH15" s="319"/>
      <c r="BI15" s="319"/>
      <c r="BJ15" s="319"/>
      <c r="BK15" s="319"/>
      <c r="BL15" s="319"/>
      <c r="BM15" s="319"/>
      <c r="BN15" s="319"/>
      <c r="BO15" s="319"/>
      <c r="BP15" s="319"/>
      <c r="BQ15" s="319"/>
    </row>
    <row r="16" spans="1:71" ht="24.75" customHeight="1" x14ac:dyDescent="0.25">
      <c r="A16" s="270" t="s">
        <v>180</v>
      </c>
      <c r="B16" s="271" t="s">
        <v>166</v>
      </c>
      <c r="C16" s="320" t="s">
        <v>167</v>
      </c>
      <c r="D16" s="300">
        <v>60.6</v>
      </c>
      <c r="E16" s="300">
        <v>31.4</v>
      </c>
      <c r="F16" s="300">
        <v>14.1</v>
      </c>
      <c r="G16" s="300">
        <v>20.5</v>
      </c>
      <c r="H16" s="300" t="s">
        <v>236</v>
      </c>
      <c r="I16" s="304">
        <v>860.5</v>
      </c>
      <c r="J16" s="300">
        <v>4.2</v>
      </c>
      <c r="K16" s="584"/>
      <c r="L16" s="301">
        <v>5.8</v>
      </c>
      <c r="M16" s="313">
        <v>10.4</v>
      </c>
      <c r="N16" s="300">
        <v>292.39999999999998</v>
      </c>
      <c r="O16" s="300">
        <v>30.7</v>
      </c>
      <c r="P16" s="300">
        <v>29.7</v>
      </c>
      <c r="Q16" s="300">
        <v>8.9</v>
      </c>
      <c r="R16" s="300">
        <v>109.5</v>
      </c>
      <c r="T16" s="280" t="s">
        <v>180</v>
      </c>
      <c r="U16" s="319">
        <v>42.7</v>
      </c>
      <c r="V16" s="319">
        <v>24</v>
      </c>
      <c r="W16" s="319">
        <v>97.4</v>
      </c>
      <c r="X16" s="319">
        <v>50.8</v>
      </c>
      <c r="Y16" s="319">
        <v>11.7</v>
      </c>
      <c r="Z16" s="319">
        <v>264.2</v>
      </c>
      <c r="AA16" s="319">
        <v>46.6</v>
      </c>
      <c r="AC16" s="319">
        <v>22</v>
      </c>
      <c r="AD16" s="319">
        <v>22</v>
      </c>
      <c r="AE16" s="319">
        <v>22</v>
      </c>
      <c r="AF16" s="319">
        <v>40.200000000000003</v>
      </c>
      <c r="AG16" s="319">
        <v>30.8</v>
      </c>
      <c r="AH16" s="319">
        <v>34.9</v>
      </c>
      <c r="AI16" s="319">
        <v>74.2</v>
      </c>
      <c r="AK16" s="280" t="s">
        <v>180</v>
      </c>
      <c r="AL16" s="319">
        <f t="shared" si="8"/>
        <v>85.4</v>
      </c>
      <c r="AM16" s="319">
        <f t="shared" si="8"/>
        <v>48</v>
      </c>
      <c r="AN16" s="319">
        <f t="shared" si="8"/>
        <v>194.8</v>
      </c>
      <c r="AO16" s="319">
        <f t="shared" si="8"/>
        <v>101.6</v>
      </c>
      <c r="AP16" s="319">
        <f t="shared" si="8"/>
        <v>23.4</v>
      </c>
      <c r="AQ16" s="319">
        <f t="shared" si="8"/>
        <v>528.4</v>
      </c>
      <c r="AR16" s="319">
        <f t="shared" si="8"/>
        <v>93.2</v>
      </c>
      <c r="AS16" s="319">
        <f t="shared" si="8"/>
        <v>0</v>
      </c>
      <c r="AT16" s="319">
        <f t="shared" si="8"/>
        <v>44</v>
      </c>
      <c r="AU16" s="319">
        <f t="shared" si="8"/>
        <v>44</v>
      </c>
      <c r="AV16" s="319">
        <f t="shared" si="8"/>
        <v>44</v>
      </c>
      <c r="AW16" s="319">
        <f t="shared" si="8"/>
        <v>80.400000000000006</v>
      </c>
      <c r="AX16" s="319">
        <f t="shared" si="8"/>
        <v>61.6</v>
      </c>
      <c r="AY16" s="319">
        <f t="shared" si="8"/>
        <v>69.8</v>
      </c>
      <c r="AZ16" s="319">
        <f t="shared" si="8"/>
        <v>148.4</v>
      </c>
      <c r="BB16" s="280" t="s">
        <v>180</v>
      </c>
      <c r="BC16" s="319">
        <f t="shared" si="10"/>
        <v>21.35</v>
      </c>
      <c r="BD16" s="319">
        <f t="shared" si="9"/>
        <v>12</v>
      </c>
      <c r="BE16" s="319">
        <f t="shared" si="9"/>
        <v>48.7</v>
      </c>
      <c r="BF16" s="319">
        <f t="shared" si="9"/>
        <v>25.4</v>
      </c>
      <c r="BG16" s="319">
        <f t="shared" si="9"/>
        <v>5.85</v>
      </c>
      <c r="BH16" s="319">
        <f t="shared" si="9"/>
        <v>132.1</v>
      </c>
      <c r="BI16" s="319">
        <f t="shared" si="9"/>
        <v>23.3</v>
      </c>
      <c r="BJ16" s="319">
        <f t="shared" si="9"/>
        <v>0</v>
      </c>
      <c r="BK16" s="319">
        <f t="shared" si="9"/>
        <v>11</v>
      </c>
      <c r="BL16" s="319">
        <f t="shared" si="9"/>
        <v>11</v>
      </c>
      <c r="BM16" s="319">
        <f t="shared" si="9"/>
        <v>11</v>
      </c>
      <c r="BN16" s="319">
        <f t="shared" si="9"/>
        <v>20.100000000000001</v>
      </c>
      <c r="BO16" s="319">
        <f t="shared" si="9"/>
        <v>15.4</v>
      </c>
      <c r="BP16" s="319">
        <f t="shared" si="9"/>
        <v>17.45</v>
      </c>
      <c r="BQ16" s="319">
        <f t="shared" si="9"/>
        <v>37.1</v>
      </c>
    </row>
    <row r="17" spans="1:69" ht="24.75" customHeight="1" x14ac:dyDescent="0.25">
      <c r="A17" s="270" t="s">
        <v>181</v>
      </c>
      <c r="B17" s="271" t="s">
        <v>166</v>
      </c>
      <c r="C17" s="320" t="s">
        <v>167</v>
      </c>
      <c r="D17" s="328" t="s">
        <v>209</v>
      </c>
      <c r="E17" s="328" t="s">
        <v>209</v>
      </c>
      <c r="F17" s="300" t="s">
        <v>209</v>
      </c>
      <c r="G17" s="300" t="s">
        <v>209</v>
      </c>
      <c r="H17" s="328" t="s">
        <v>209</v>
      </c>
      <c r="I17" s="300" t="s">
        <v>209</v>
      </c>
      <c r="J17" s="328">
        <v>2.1</v>
      </c>
      <c r="K17" s="584"/>
      <c r="L17" s="328" t="s">
        <v>209</v>
      </c>
      <c r="M17" s="313" t="s">
        <v>209</v>
      </c>
      <c r="N17" s="300">
        <v>0.1</v>
      </c>
      <c r="O17" s="328" t="s">
        <v>209</v>
      </c>
      <c r="P17" s="300" t="s">
        <v>209</v>
      </c>
      <c r="Q17" s="328" t="s">
        <v>209</v>
      </c>
      <c r="R17" s="300" t="s">
        <v>209</v>
      </c>
      <c r="T17" s="280" t="s">
        <v>181</v>
      </c>
      <c r="U17" s="319">
        <v>2.74</v>
      </c>
      <c r="V17" s="319">
        <v>0.68</v>
      </c>
      <c r="W17" s="319">
        <v>5.19</v>
      </c>
      <c r="X17" s="319">
        <v>0.91</v>
      </c>
      <c r="Y17" s="319">
        <v>0.65</v>
      </c>
      <c r="Z17" s="319">
        <v>0.25</v>
      </c>
      <c r="AA17" s="319">
        <v>0.41</v>
      </c>
      <c r="AC17" s="319">
        <v>0.25</v>
      </c>
      <c r="AD17" s="319">
        <v>0.25</v>
      </c>
      <c r="AE17" s="319">
        <v>0.25</v>
      </c>
      <c r="AF17" s="319">
        <v>0.42</v>
      </c>
      <c r="AG17" s="319">
        <v>0.28000000000000003</v>
      </c>
      <c r="AH17" s="319">
        <v>0.92</v>
      </c>
      <c r="AI17" s="319">
        <v>1.17</v>
      </c>
      <c r="AK17" s="280" t="s">
        <v>181</v>
      </c>
      <c r="AL17" s="319">
        <f t="shared" si="8"/>
        <v>5.48</v>
      </c>
      <c r="AM17" s="319">
        <f t="shared" si="8"/>
        <v>1.36</v>
      </c>
      <c r="AN17" s="319">
        <f t="shared" si="8"/>
        <v>10.38</v>
      </c>
      <c r="AO17" s="319">
        <f t="shared" si="8"/>
        <v>1.82</v>
      </c>
      <c r="AP17" s="319">
        <f t="shared" si="8"/>
        <v>1.3</v>
      </c>
      <c r="AQ17" s="319">
        <f t="shared" si="8"/>
        <v>0.5</v>
      </c>
      <c r="AR17" s="319">
        <f t="shared" si="8"/>
        <v>0.82</v>
      </c>
      <c r="AS17" s="319">
        <f t="shared" si="8"/>
        <v>0</v>
      </c>
      <c r="AT17" s="319">
        <f t="shared" si="8"/>
        <v>0.5</v>
      </c>
      <c r="AU17" s="319">
        <f t="shared" si="8"/>
        <v>0.5</v>
      </c>
      <c r="AV17" s="319">
        <f t="shared" si="8"/>
        <v>0.5</v>
      </c>
      <c r="AW17" s="319">
        <f t="shared" si="8"/>
        <v>0.84</v>
      </c>
      <c r="AX17" s="319">
        <f t="shared" si="8"/>
        <v>0.56000000000000005</v>
      </c>
      <c r="AY17" s="319">
        <f t="shared" si="8"/>
        <v>1.84</v>
      </c>
      <c r="AZ17" s="319">
        <f t="shared" si="8"/>
        <v>2.34</v>
      </c>
      <c r="BB17" s="280" t="s">
        <v>181</v>
      </c>
      <c r="BC17" s="319">
        <f t="shared" si="10"/>
        <v>1.37</v>
      </c>
      <c r="BD17" s="319">
        <f t="shared" si="9"/>
        <v>0.34</v>
      </c>
      <c r="BE17" s="319">
        <f t="shared" si="9"/>
        <v>2.5950000000000002</v>
      </c>
      <c r="BF17" s="319">
        <f t="shared" si="9"/>
        <v>0.45500000000000002</v>
      </c>
      <c r="BG17" s="319">
        <f t="shared" si="9"/>
        <v>0.32500000000000001</v>
      </c>
      <c r="BH17" s="319">
        <f t="shared" si="9"/>
        <v>0.125</v>
      </c>
      <c r="BI17" s="319">
        <f t="shared" si="9"/>
        <v>0.20499999999999999</v>
      </c>
      <c r="BJ17" s="319">
        <f t="shared" si="9"/>
        <v>0</v>
      </c>
      <c r="BK17" s="319">
        <f t="shared" si="9"/>
        <v>0.125</v>
      </c>
      <c r="BL17" s="319">
        <f t="shared" si="9"/>
        <v>0.125</v>
      </c>
      <c r="BM17" s="319">
        <f t="shared" si="9"/>
        <v>0.125</v>
      </c>
      <c r="BN17" s="319">
        <f t="shared" si="9"/>
        <v>0.21</v>
      </c>
      <c r="BO17" s="319">
        <f t="shared" si="9"/>
        <v>0.14000000000000001</v>
      </c>
      <c r="BP17" s="319">
        <f t="shared" si="9"/>
        <v>0.46</v>
      </c>
      <c r="BQ17" s="319">
        <f t="shared" si="9"/>
        <v>0.58499999999999996</v>
      </c>
    </row>
    <row r="18" spans="1:69" ht="24.75" customHeight="1" x14ac:dyDescent="0.25">
      <c r="A18" s="270" t="s">
        <v>182</v>
      </c>
      <c r="B18" s="271" t="s">
        <v>166</v>
      </c>
      <c r="C18" s="320" t="s">
        <v>167</v>
      </c>
      <c r="D18" s="300">
        <v>3.8</v>
      </c>
      <c r="E18" s="300">
        <v>9.5</v>
      </c>
      <c r="F18" s="300">
        <v>10.3</v>
      </c>
      <c r="G18" s="300">
        <v>382.5</v>
      </c>
      <c r="H18" s="300">
        <v>5.2</v>
      </c>
      <c r="I18" s="330">
        <v>201</v>
      </c>
      <c r="J18" s="300">
        <v>78.900000000000006</v>
      </c>
      <c r="K18" s="584"/>
      <c r="L18" s="300">
        <v>1.7</v>
      </c>
      <c r="M18" s="313">
        <v>4.5999999999999996</v>
      </c>
      <c r="N18" s="300">
        <v>6.4</v>
      </c>
      <c r="O18" s="300">
        <v>3.5</v>
      </c>
      <c r="P18" s="300">
        <v>4.2</v>
      </c>
      <c r="Q18" s="300">
        <v>3</v>
      </c>
      <c r="R18" s="300">
        <v>17.399999999999999</v>
      </c>
      <c r="T18" s="280" t="s">
        <v>182</v>
      </c>
      <c r="U18" s="319">
        <v>15.5</v>
      </c>
      <c r="V18" s="319">
        <v>27.1</v>
      </c>
      <c r="W18" s="319">
        <v>17.7</v>
      </c>
      <c r="X18" s="319">
        <v>63.4</v>
      </c>
      <c r="Y18" s="319">
        <v>534</v>
      </c>
      <c r="Z18" s="319">
        <v>153</v>
      </c>
      <c r="AA18" s="319">
        <v>33.700000000000003</v>
      </c>
      <c r="AC18" s="319">
        <v>10.7</v>
      </c>
      <c r="AD18" s="319">
        <v>10.7</v>
      </c>
      <c r="AE18" s="319">
        <v>10.7</v>
      </c>
      <c r="AF18" s="319">
        <v>8</v>
      </c>
      <c r="AG18" s="319">
        <v>9.5</v>
      </c>
      <c r="AH18" s="319">
        <v>10.3</v>
      </c>
      <c r="AI18" s="319">
        <v>86</v>
      </c>
      <c r="AK18" s="280" t="s">
        <v>182</v>
      </c>
      <c r="AL18" s="319">
        <f t="shared" si="8"/>
        <v>31</v>
      </c>
      <c r="AM18" s="319">
        <f t="shared" si="8"/>
        <v>54.2</v>
      </c>
      <c r="AN18" s="319">
        <f t="shared" si="8"/>
        <v>35.4</v>
      </c>
      <c r="AO18" s="319">
        <f t="shared" si="8"/>
        <v>126.8</v>
      </c>
      <c r="AP18" s="319">
        <f t="shared" si="8"/>
        <v>1068</v>
      </c>
      <c r="AQ18" s="319">
        <f t="shared" si="8"/>
        <v>306</v>
      </c>
      <c r="AR18" s="319">
        <f t="shared" si="8"/>
        <v>67.400000000000006</v>
      </c>
      <c r="AS18" s="319">
        <f t="shared" si="8"/>
        <v>0</v>
      </c>
      <c r="AT18" s="319">
        <f t="shared" si="8"/>
        <v>21.4</v>
      </c>
      <c r="AU18" s="319">
        <f t="shared" si="8"/>
        <v>21.4</v>
      </c>
      <c r="AV18" s="319">
        <f t="shared" si="8"/>
        <v>21.4</v>
      </c>
      <c r="AW18" s="319">
        <f t="shared" si="8"/>
        <v>16</v>
      </c>
      <c r="AX18" s="319">
        <f t="shared" si="8"/>
        <v>19</v>
      </c>
      <c r="AY18" s="319">
        <f t="shared" si="8"/>
        <v>20.6</v>
      </c>
      <c r="AZ18" s="319">
        <f t="shared" si="8"/>
        <v>172</v>
      </c>
      <c r="BB18" s="280" t="s">
        <v>182</v>
      </c>
      <c r="BC18" s="319">
        <f t="shared" si="10"/>
        <v>7.75</v>
      </c>
      <c r="BD18" s="319">
        <f t="shared" si="9"/>
        <v>13.55</v>
      </c>
      <c r="BE18" s="319">
        <f t="shared" si="9"/>
        <v>8.85</v>
      </c>
      <c r="BF18" s="319">
        <f t="shared" si="9"/>
        <v>31.7</v>
      </c>
      <c r="BG18" s="319">
        <f t="shared" si="9"/>
        <v>267</v>
      </c>
      <c r="BH18" s="319">
        <f t="shared" si="9"/>
        <v>76.5</v>
      </c>
      <c r="BI18" s="319">
        <f t="shared" si="9"/>
        <v>16.850000000000001</v>
      </c>
      <c r="BJ18" s="319">
        <f t="shared" si="9"/>
        <v>0</v>
      </c>
      <c r="BK18" s="319">
        <f t="shared" si="9"/>
        <v>5.35</v>
      </c>
      <c r="BL18" s="319">
        <f t="shared" si="9"/>
        <v>5.35</v>
      </c>
      <c r="BM18" s="319">
        <f t="shared" si="9"/>
        <v>5.35</v>
      </c>
      <c r="BN18" s="319">
        <f t="shared" si="9"/>
        <v>4</v>
      </c>
      <c r="BO18" s="319">
        <f t="shared" si="9"/>
        <v>4.75</v>
      </c>
      <c r="BP18" s="319">
        <f t="shared" si="9"/>
        <v>5.15</v>
      </c>
      <c r="BQ18" s="319">
        <f t="shared" si="9"/>
        <v>43</v>
      </c>
    </row>
    <row r="19" spans="1:69" ht="24.75" customHeight="1" x14ac:dyDescent="0.25">
      <c r="A19" s="270" t="s">
        <v>183</v>
      </c>
      <c r="B19" s="271" t="s">
        <v>166</v>
      </c>
      <c r="C19" s="320" t="s">
        <v>167</v>
      </c>
      <c r="D19" s="300">
        <v>2.9</v>
      </c>
      <c r="E19" s="300">
        <v>4.8</v>
      </c>
      <c r="F19" s="300">
        <v>6.7</v>
      </c>
      <c r="G19" s="300">
        <v>4.5999999999999996</v>
      </c>
      <c r="H19" s="300" t="s">
        <v>236</v>
      </c>
      <c r="I19" s="300">
        <v>100.9</v>
      </c>
      <c r="J19" s="300">
        <v>3.2</v>
      </c>
      <c r="K19" s="584"/>
      <c r="L19" s="300">
        <v>1.2</v>
      </c>
      <c r="M19" s="313">
        <v>3.1</v>
      </c>
      <c r="N19" s="300">
        <v>4.4000000000000004</v>
      </c>
      <c r="O19" s="300">
        <v>1.7</v>
      </c>
      <c r="P19" s="300">
        <v>1.7</v>
      </c>
      <c r="Q19" s="300">
        <v>2.1</v>
      </c>
      <c r="R19" s="300">
        <v>9.6</v>
      </c>
      <c r="T19" s="280" t="s">
        <v>183</v>
      </c>
      <c r="U19" s="319">
        <v>10.9</v>
      </c>
      <c r="V19" s="319">
        <v>26.8</v>
      </c>
      <c r="W19" s="319">
        <v>10</v>
      </c>
      <c r="X19" s="319">
        <v>10.8</v>
      </c>
      <c r="Y19" s="319">
        <v>29.9</v>
      </c>
      <c r="Z19" s="319">
        <v>106.9</v>
      </c>
      <c r="AA19" s="319">
        <v>15</v>
      </c>
      <c r="AC19" s="319">
        <v>5.4</v>
      </c>
      <c r="AD19" s="319">
        <v>5.4</v>
      </c>
      <c r="AE19" s="319">
        <v>5.4</v>
      </c>
      <c r="AF19" s="319">
        <v>4.7</v>
      </c>
      <c r="AG19" s="319">
        <v>5.7</v>
      </c>
      <c r="AH19" s="319">
        <v>3.6</v>
      </c>
      <c r="AI19" s="319">
        <v>44</v>
      </c>
      <c r="AK19" s="280" t="s">
        <v>183</v>
      </c>
      <c r="AL19" s="319">
        <f t="shared" si="8"/>
        <v>21.8</v>
      </c>
      <c r="AM19" s="319">
        <f t="shared" si="8"/>
        <v>53.6</v>
      </c>
      <c r="AN19" s="319">
        <f t="shared" si="8"/>
        <v>20</v>
      </c>
      <c r="AO19" s="319">
        <f t="shared" si="8"/>
        <v>21.6</v>
      </c>
      <c r="AP19" s="319">
        <f t="shared" si="8"/>
        <v>59.8</v>
      </c>
      <c r="AQ19" s="319">
        <f t="shared" si="8"/>
        <v>213.8</v>
      </c>
      <c r="AR19" s="319">
        <f t="shared" si="8"/>
        <v>30</v>
      </c>
      <c r="AS19" s="319">
        <f t="shared" si="8"/>
        <v>0</v>
      </c>
      <c r="AT19" s="319">
        <f t="shared" si="8"/>
        <v>10.8</v>
      </c>
      <c r="AU19" s="319">
        <f t="shared" si="8"/>
        <v>10.8</v>
      </c>
      <c r="AV19" s="319">
        <f t="shared" si="8"/>
        <v>10.8</v>
      </c>
      <c r="AW19" s="319">
        <f t="shared" si="8"/>
        <v>9.4</v>
      </c>
      <c r="AX19" s="319">
        <f t="shared" si="8"/>
        <v>11.4</v>
      </c>
      <c r="AY19" s="319">
        <f t="shared" si="8"/>
        <v>7.2</v>
      </c>
      <c r="AZ19" s="319">
        <f t="shared" si="8"/>
        <v>88</v>
      </c>
      <c r="BB19" s="280" t="s">
        <v>183</v>
      </c>
      <c r="BC19" s="319">
        <f t="shared" si="10"/>
        <v>5.45</v>
      </c>
      <c r="BD19" s="319">
        <f t="shared" si="9"/>
        <v>13.4</v>
      </c>
      <c r="BE19" s="319">
        <f t="shared" si="9"/>
        <v>5</v>
      </c>
      <c r="BF19" s="319">
        <f t="shared" si="9"/>
        <v>5.4</v>
      </c>
      <c r="BG19" s="319">
        <f t="shared" si="9"/>
        <v>14.95</v>
      </c>
      <c r="BH19" s="319">
        <f t="shared" si="9"/>
        <v>53.45</v>
      </c>
      <c r="BI19" s="319">
        <f t="shared" si="9"/>
        <v>7.5</v>
      </c>
      <c r="BJ19" s="319">
        <f t="shared" si="9"/>
        <v>0</v>
      </c>
      <c r="BK19" s="319">
        <f t="shared" si="9"/>
        <v>2.7</v>
      </c>
      <c r="BL19" s="319">
        <f t="shared" si="9"/>
        <v>2.7</v>
      </c>
      <c r="BM19" s="319">
        <f t="shared" si="9"/>
        <v>2.7</v>
      </c>
      <c r="BN19" s="319">
        <f t="shared" si="9"/>
        <v>2.35</v>
      </c>
      <c r="BO19" s="319">
        <f t="shared" si="9"/>
        <v>2.85</v>
      </c>
      <c r="BP19" s="319">
        <f t="shared" si="9"/>
        <v>1.8</v>
      </c>
      <c r="BQ19" s="319">
        <f t="shared" si="9"/>
        <v>22</v>
      </c>
    </row>
    <row r="20" spans="1:69" ht="24.75" customHeight="1" x14ac:dyDescent="0.25">
      <c r="A20" s="270" t="s">
        <v>184</v>
      </c>
      <c r="B20" s="271" t="s">
        <v>166</v>
      </c>
      <c r="C20" s="320" t="s">
        <v>167</v>
      </c>
      <c r="D20" s="300">
        <v>45.9</v>
      </c>
      <c r="E20" s="300">
        <v>44.1</v>
      </c>
      <c r="F20" s="300">
        <v>23.6</v>
      </c>
      <c r="G20" s="300">
        <v>264.89999999999998</v>
      </c>
      <c r="H20" s="300">
        <v>1.4</v>
      </c>
      <c r="I20" s="300">
        <v>156.69999999999999</v>
      </c>
      <c r="J20" s="300">
        <v>180.1</v>
      </c>
      <c r="K20" s="584"/>
      <c r="L20" s="300">
        <v>64</v>
      </c>
      <c r="M20" s="313">
        <v>43.8</v>
      </c>
      <c r="N20" s="300">
        <v>248.6</v>
      </c>
      <c r="O20" s="300">
        <v>21.9</v>
      </c>
      <c r="P20" s="300">
        <v>69.400000000000006</v>
      </c>
      <c r="Q20" s="300">
        <v>42.1</v>
      </c>
      <c r="R20" s="300">
        <v>326.8</v>
      </c>
      <c r="T20" s="280" t="s">
        <v>184</v>
      </c>
      <c r="U20" s="319">
        <v>148</v>
      </c>
      <c r="V20" s="319">
        <v>159</v>
      </c>
      <c r="W20" s="319">
        <v>288</v>
      </c>
      <c r="X20" s="319">
        <v>628</v>
      </c>
      <c r="Y20" s="319">
        <v>59</v>
      </c>
      <c r="Z20" s="319">
        <v>479</v>
      </c>
      <c r="AA20" s="319">
        <v>581</v>
      </c>
      <c r="AC20" s="319">
        <v>411</v>
      </c>
      <c r="AD20" s="319">
        <v>411</v>
      </c>
      <c r="AE20" s="319">
        <v>411</v>
      </c>
      <c r="AF20" s="319">
        <v>66</v>
      </c>
      <c r="AG20" s="319">
        <v>73</v>
      </c>
      <c r="AH20" s="319">
        <v>320</v>
      </c>
      <c r="AI20" s="319">
        <v>543</v>
      </c>
      <c r="AK20" s="280" t="s">
        <v>184</v>
      </c>
      <c r="AL20" s="319">
        <f t="shared" si="8"/>
        <v>296</v>
      </c>
      <c r="AM20" s="319">
        <f t="shared" si="8"/>
        <v>318</v>
      </c>
      <c r="AN20" s="319">
        <f t="shared" si="8"/>
        <v>576</v>
      </c>
      <c r="AO20" s="319">
        <f t="shared" si="8"/>
        <v>1256</v>
      </c>
      <c r="AP20" s="319">
        <f t="shared" si="8"/>
        <v>118</v>
      </c>
      <c r="AQ20" s="319">
        <f t="shared" si="8"/>
        <v>958</v>
      </c>
      <c r="AR20" s="319">
        <f t="shared" si="8"/>
        <v>1162</v>
      </c>
      <c r="AS20" s="319">
        <f t="shared" si="8"/>
        <v>0</v>
      </c>
      <c r="AT20" s="319">
        <f t="shared" si="8"/>
        <v>822</v>
      </c>
      <c r="AU20" s="319">
        <f t="shared" si="8"/>
        <v>822</v>
      </c>
      <c r="AV20" s="319">
        <f t="shared" si="8"/>
        <v>822</v>
      </c>
      <c r="AW20" s="319">
        <f t="shared" si="8"/>
        <v>132</v>
      </c>
      <c r="AX20" s="319">
        <f t="shared" si="8"/>
        <v>146</v>
      </c>
      <c r="AY20" s="319">
        <f t="shared" si="8"/>
        <v>640</v>
      </c>
      <c r="AZ20" s="319">
        <f t="shared" si="8"/>
        <v>1086</v>
      </c>
      <c r="BB20" s="280" t="s">
        <v>184</v>
      </c>
      <c r="BC20" s="319">
        <f t="shared" si="10"/>
        <v>74</v>
      </c>
      <c r="BD20" s="319">
        <f t="shared" si="9"/>
        <v>79.5</v>
      </c>
      <c r="BE20" s="319">
        <f t="shared" si="9"/>
        <v>144</v>
      </c>
      <c r="BF20" s="319">
        <f t="shared" si="9"/>
        <v>314</v>
      </c>
      <c r="BG20" s="319">
        <f t="shared" si="9"/>
        <v>29.5</v>
      </c>
      <c r="BH20" s="319">
        <f t="shared" si="9"/>
        <v>239.5</v>
      </c>
      <c r="BI20" s="319">
        <f t="shared" si="9"/>
        <v>290.5</v>
      </c>
      <c r="BJ20" s="319">
        <f t="shared" si="9"/>
        <v>0</v>
      </c>
      <c r="BK20" s="319">
        <f t="shared" si="9"/>
        <v>205.5</v>
      </c>
      <c r="BL20" s="319">
        <f t="shared" si="9"/>
        <v>205.5</v>
      </c>
      <c r="BM20" s="319">
        <f t="shared" si="9"/>
        <v>205.5</v>
      </c>
      <c r="BN20" s="319">
        <f t="shared" si="9"/>
        <v>33</v>
      </c>
      <c r="BO20" s="319">
        <f t="shared" si="9"/>
        <v>36.5</v>
      </c>
      <c r="BP20" s="319">
        <f t="shared" si="9"/>
        <v>160</v>
      </c>
      <c r="BQ20" s="319">
        <f t="shared" si="9"/>
        <v>271.5</v>
      </c>
    </row>
    <row r="21" spans="1:69" ht="24.75" customHeight="1" x14ac:dyDescent="0.25">
      <c r="A21" s="270" t="s">
        <v>185</v>
      </c>
      <c r="B21" s="271" t="s">
        <v>186</v>
      </c>
      <c r="C21" s="320" t="s">
        <v>167</v>
      </c>
      <c r="D21" s="301">
        <v>0.1</v>
      </c>
      <c r="E21" s="301">
        <v>0.1</v>
      </c>
      <c r="F21" s="301">
        <v>0.1</v>
      </c>
      <c r="G21" s="301">
        <v>0.1</v>
      </c>
      <c r="H21" s="301">
        <v>0.1</v>
      </c>
      <c r="I21" s="301">
        <v>0.1</v>
      </c>
      <c r="J21" s="301">
        <v>0.1</v>
      </c>
      <c r="K21" s="584"/>
      <c r="L21" s="331">
        <v>0.1</v>
      </c>
      <c r="M21" s="331">
        <v>0.1</v>
      </c>
      <c r="N21" s="331">
        <v>0.1</v>
      </c>
      <c r="O21" s="331">
        <v>0.1</v>
      </c>
      <c r="P21" s="331">
        <v>0.1</v>
      </c>
      <c r="Q21" s="331">
        <v>0.1</v>
      </c>
      <c r="R21" s="331">
        <v>0.1</v>
      </c>
      <c r="T21" s="280" t="s">
        <v>185</v>
      </c>
      <c r="U21" s="319">
        <v>0.53</v>
      </c>
      <c r="W21" s="319">
        <v>0.57399999999999995</v>
      </c>
      <c r="X21" s="319">
        <v>8.9999999999999993E-3</v>
      </c>
      <c r="Z21" s="319">
        <v>2.7E-2</v>
      </c>
      <c r="AF21" s="319">
        <v>2E-3</v>
      </c>
      <c r="AH21" s="319">
        <v>4.8000000000000001E-2</v>
      </c>
      <c r="AI21" s="319">
        <v>3.9E-2</v>
      </c>
      <c r="AK21" s="280" t="s">
        <v>185</v>
      </c>
      <c r="AL21" s="319">
        <f t="shared" si="8"/>
        <v>1.06</v>
      </c>
      <c r="AM21" s="319">
        <v>0</v>
      </c>
      <c r="AN21" s="319">
        <f t="shared" si="8"/>
        <v>1.1479999999999999</v>
      </c>
      <c r="AO21" s="319">
        <f t="shared" si="8"/>
        <v>1.7999999999999999E-2</v>
      </c>
      <c r="AP21" s="319"/>
      <c r="AQ21" s="319">
        <f t="shared" si="8"/>
        <v>5.3999999999999999E-2</v>
      </c>
      <c r="AR21" s="319"/>
      <c r="AS21" s="319"/>
      <c r="AT21" s="319"/>
      <c r="AU21" s="319"/>
      <c r="AV21" s="319"/>
      <c r="AW21" s="319">
        <f t="shared" si="8"/>
        <v>4.0000000000000001E-3</v>
      </c>
      <c r="AX21" s="319">
        <f t="shared" si="8"/>
        <v>0</v>
      </c>
      <c r="AY21" s="319">
        <f t="shared" si="8"/>
        <v>9.6000000000000002E-2</v>
      </c>
      <c r="AZ21" s="319">
        <f t="shared" si="8"/>
        <v>7.8E-2</v>
      </c>
      <c r="BB21" s="280" t="s">
        <v>185</v>
      </c>
      <c r="BC21" s="319">
        <f t="shared" si="10"/>
        <v>0.26500000000000001</v>
      </c>
      <c r="BD21" s="319">
        <v>0</v>
      </c>
      <c r="BE21" s="319">
        <f t="shared" si="9"/>
        <v>0.28699999999999998</v>
      </c>
      <c r="BF21" s="319">
        <f t="shared" si="9"/>
        <v>4.4999999999999997E-3</v>
      </c>
      <c r="BG21" s="319"/>
      <c r="BH21" s="319">
        <f t="shared" si="9"/>
        <v>1.35E-2</v>
      </c>
      <c r="BI21" s="319"/>
      <c r="BJ21" s="319"/>
      <c r="BK21" s="319"/>
      <c r="BL21" s="319"/>
      <c r="BM21" s="319"/>
      <c r="BN21" s="319">
        <f t="shared" si="9"/>
        <v>1E-3</v>
      </c>
      <c r="BO21" s="319"/>
      <c r="BP21" s="319">
        <f t="shared" si="9"/>
        <v>2.4E-2</v>
      </c>
      <c r="BQ21" s="319">
        <f t="shared" si="9"/>
        <v>1.95E-2</v>
      </c>
    </row>
    <row r="22" spans="1:69" ht="24.75" customHeight="1" x14ac:dyDescent="0.25">
      <c r="A22" s="270" t="s">
        <v>187</v>
      </c>
      <c r="B22" s="271" t="s">
        <v>166</v>
      </c>
      <c r="C22" s="320" t="s">
        <v>167</v>
      </c>
      <c r="D22" s="300" t="s">
        <v>209</v>
      </c>
      <c r="E22" s="300" t="s">
        <v>209</v>
      </c>
      <c r="F22" s="300" t="s">
        <v>209</v>
      </c>
      <c r="G22" s="300" t="s">
        <v>209</v>
      </c>
      <c r="H22" s="313" t="s">
        <v>209</v>
      </c>
      <c r="I22" s="300">
        <v>9.4</v>
      </c>
      <c r="J22" s="300">
        <v>0.9</v>
      </c>
      <c r="K22" s="584"/>
      <c r="L22" s="300">
        <v>1</v>
      </c>
      <c r="M22" s="313">
        <v>0.8</v>
      </c>
      <c r="N22" s="300">
        <v>0.8</v>
      </c>
      <c r="O22" s="300">
        <v>0.9</v>
      </c>
      <c r="P22" s="300">
        <v>0.8</v>
      </c>
      <c r="Q22" s="300" t="s">
        <v>209</v>
      </c>
      <c r="R22" s="300">
        <v>1.4</v>
      </c>
      <c r="T22" s="280" t="s">
        <v>187</v>
      </c>
      <c r="U22" s="319">
        <v>0.14000000000000001</v>
      </c>
      <c r="V22" s="319">
        <v>0.17</v>
      </c>
      <c r="W22" s="319">
        <v>0.11</v>
      </c>
      <c r="X22" s="319">
        <v>0.16</v>
      </c>
      <c r="Y22" s="319">
        <v>18.2</v>
      </c>
      <c r="Z22" s="319">
        <v>4.51</v>
      </c>
      <c r="AA22" s="319">
        <v>3.91</v>
      </c>
      <c r="AC22" s="319">
        <v>0.2</v>
      </c>
      <c r="AD22" s="319">
        <v>0.2</v>
      </c>
      <c r="AE22" s="319">
        <v>0.2</v>
      </c>
      <c r="AF22" s="319">
        <v>0.11</v>
      </c>
      <c r="AG22" s="319">
        <v>0.04</v>
      </c>
      <c r="AH22" s="319">
        <v>0.05</v>
      </c>
      <c r="AI22" s="319">
        <v>1.07</v>
      </c>
      <c r="AK22" s="280" t="s">
        <v>187</v>
      </c>
      <c r="AL22" s="319">
        <f t="shared" si="8"/>
        <v>0.28000000000000003</v>
      </c>
      <c r="AM22" s="319">
        <f t="shared" si="8"/>
        <v>0.34</v>
      </c>
      <c r="AN22" s="319">
        <f t="shared" si="8"/>
        <v>0.22</v>
      </c>
      <c r="AO22" s="319">
        <f t="shared" si="8"/>
        <v>0.32</v>
      </c>
      <c r="AP22" s="319">
        <f t="shared" si="8"/>
        <v>36.4</v>
      </c>
      <c r="AQ22" s="319">
        <f t="shared" si="8"/>
        <v>9.02</v>
      </c>
      <c r="AR22" s="319">
        <f t="shared" si="8"/>
        <v>7.82</v>
      </c>
      <c r="AS22" s="319">
        <f t="shared" si="8"/>
        <v>0</v>
      </c>
      <c r="AT22" s="319">
        <f t="shared" si="8"/>
        <v>0.4</v>
      </c>
      <c r="AU22" s="319">
        <f t="shared" si="8"/>
        <v>0.4</v>
      </c>
      <c r="AV22" s="319">
        <f t="shared" si="8"/>
        <v>0.4</v>
      </c>
      <c r="AW22" s="319">
        <f t="shared" si="8"/>
        <v>0.22</v>
      </c>
      <c r="AX22" s="319">
        <f t="shared" si="8"/>
        <v>0.08</v>
      </c>
      <c r="AY22" s="319">
        <f t="shared" si="8"/>
        <v>0.1</v>
      </c>
      <c r="AZ22" s="319">
        <f t="shared" si="8"/>
        <v>2.14</v>
      </c>
      <c r="BB22" s="280" t="s">
        <v>187</v>
      </c>
      <c r="BC22" s="319">
        <f t="shared" si="10"/>
        <v>7.0000000000000007E-2</v>
      </c>
      <c r="BD22" s="319">
        <f t="shared" si="9"/>
        <v>8.5000000000000006E-2</v>
      </c>
      <c r="BE22" s="319">
        <f t="shared" si="9"/>
        <v>5.5E-2</v>
      </c>
      <c r="BF22" s="319">
        <f t="shared" si="9"/>
        <v>0.08</v>
      </c>
      <c r="BG22" s="319">
        <f t="shared" si="9"/>
        <v>9.1</v>
      </c>
      <c r="BH22" s="319">
        <f t="shared" si="9"/>
        <v>2.2549999999999999</v>
      </c>
      <c r="BI22" s="319">
        <f t="shared" si="9"/>
        <v>1.9550000000000001</v>
      </c>
      <c r="BJ22" s="319">
        <f t="shared" si="9"/>
        <v>0</v>
      </c>
      <c r="BK22" s="319">
        <f t="shared" si="9"/>
        <v>0.1</v>
      </c>
      <c r="BL22" s="319">
        <f t="shared" si="9"/>
        <v>0.1</v>
      </c>
      <c r="BM22" s="319">
        <f t="shared" si="9"/>
        <v>0.1</v>
      </c>
      <c r="BN22" s="319">
        <f t="shared" si="9"/>
        <v>5.5E-2</v>
      </c>
      <c r="BO22" s="319">
        <f t="shared" si="9"/>
        <v>0.02</v>
      </c>
      <c r="BP22" s="319">
        <f t="shared" si="9"/>
        <v>2.5000000000000001E-2</v>
      </c>
      <c r="BQ22" s="319">
        <f t="shared" si="9"/>
        <v>0.53500000000000003</v>
      </c>
    </row>
    <row r="23" spans="1:69" ht="24.75" customHeight="1" x14ac:dyDescent="0.25">
      <c r="A23" s="270" t="s">
        <v>188</v>
      </c>
      <c r="B23" s="271" t="s">
        <v>166</v>
      </c>
      <c r="C23" s="320" t="s">
        <v>167</v>
      </c>
      <c r="D23" s="300">
        <v>0.2</v>
      </c>
      <c r="E23" s="313">
        <v>1.1000000000000001</v>
      </c>
      <c r="F23" s="313">
        <v>0.3</v>
      </c>
      <c r="G23" s="313" t="s">
        <v>209</v>
      </c>
      <c r="H23" s="313" t="s">
        <v>209</v>
      </c>
      <c r="I23" s="313" t="s">
        <v>209</v>
      </c>
      <c r="J23" s="313" t="s">
        <v>209</v>
      </c>
      <c r="K23" s="584"/>
      <c r="L23" s="313">
        <v>1.5</v>
      </c>
      <c r="M23" s="313">
        <v>0.8</v>
      </c>
      <c r="N23" s="313">
        <v>0.4</v>
      </c>
      <c r="O23" s="313">
        <v>0.4</v>
      </c>
      <c r="P23" s="300">
        <v>0.4</v>
      </c>
      <c r="Q23" s="313">
        <v>0.3</v>
      </c>
      <c r="R23" s="313" t="s">
        <v>209</v>
      </c>
      <c r="T23" s="280" t="s">
        <v>188</v>
      </c>
      <c r="U23" s="319">
        <v>0.17</v>
      </c>
      <c r="V23" s="319">
        <v>0.1</v>
      </c>
      <c r="W23" s="319">
        <v>0.55000000000000004</v>
      </c>
      <c r="X23" s="319">
        <v>0.08</v>
      </c>
      <c r="Y23" s="319">
        <v>0.69</v>
      </c>
      <c r="Z23" s="319">
        <v>0.25</v>
      </c>
      <c r="AA23" s="319">
        <v>0.12</v>
      </c>
      <c r="AC23" s="319">
        <v>0.04</v>
      </c>
      <c r="AD23" s="319">
        <v>0.04</v>
      </c>
      <c r="AE23" s="319">
        <v>0.04</v>
      </c>
      <c r="AF23" s="319">
        <v>0.06</v>
      </c>
      <c r="AG23" s="319">
        <v>7.0000000000000007E-2</v>
      </c>
      <c r="AH23" s="319">
        <v>0.15</v>
      </c>
      <c r="AI23" s="319">
        <v>0.09</v>
      </c>
      <c r="AK23" s="280" t="s">
        <v>188</v>
      </c>
      <c r="AL23" s="319">
        <f>U23*2</f>
        <v>0.34</v>
      </c>
      <c r="AM23" s="319">
        <f t="shared" si="8"/>
        <v>0.2</v>
      </c>
      <c r="AN23" s="319">
        <f t="shared" si="8"/>
        <v>1.1000000000000001</v>
      </c>
      <c r="AO23" s="319">
        <f t="shared" si="8"/>
        <v>0.16</v>
      </c>
      <c r="AP23" s="319">
        <f t="shared" si="8"/>
        <v>1.38</v>
      </c>
      <c r="AQ23" s="319">
        <f t="shared" si="8"/>
        <v>0.5</v>
      </c>
      <c r="AR23" s="319">
        <f t="shared" si="8"/>
        <v>0.24</v>
      </c>
      <c r="AS23" s="319">
        <f t="shared" si="8"/>
        <v>0</v>
      </c>
      <c r="AT23" s="319">
        <f t="shared" si="8"/>
        <v>0.08</v>
      </c>
      <c r="AU23" s="319">
        <f t="shared" si="8"/>
        <v>0.08</v>
      </c>
      <c r="AV23" s="319">
        <f t="shared" si="8"/>
        <v>0.08</v>
      </c>
      <c r="AW23" s="319">
        <f t="shared" si="8"/>
        <v>0.12</v>
      </c>
      <c r="AX23" s="319">
        <f t="shared" si="8"/>
        <v>0.14000000000000001</v>
      </c>
      <c r="AY23" s="319">
        <f t="shared" si="8"/>
        <v>0.3</v>
      </c>
      <c r="AZ23" s="319">
        <f t="shared" si="8"/>
        <v>0.18</v>
      </c>
      <c r="BB23" s="280" t="s">
        <v>188</v>
      </c>
      <c r="BC23" s="319">
        <f t="shared" si="10"/>
        <v>8.5000000000000006E-2</v>
      </c>
      <c r="BD23" s="319">
        <f t="shared" si="9"/>
        <v>0.05</v>
      </c>
      <c r="BE23" s="319">
        <f t="shared" si="9"/>
        <v>0.27500000000000002</v>
      </c>
      <c r="BF23" s="319">
        <f t="shared" si="9"/>
        <v>0.04</v>
      </c>
      <c r="BG23" s="319">
        <f t="shared" si="9"/>
        <v>0.34499999999999997</v>
      </c>
      <c r="BH23" s="319">
        <f t="shared" si="9"/>
        <v>0.125</v>
      </c>
      <c r="BI23" s="319">
        <f t="shared" si="9"/>
        <v>0.06</v>
      </c>
      <c r="BJ23" s="319">
        <f t="shared" si="9"/>
        <v>0</v>
      </c>
      <c r="BK23" s="319">
        <f t="shared" si="9"/>
        <v>0.02</v>
      </c>
      <c r="BL23" s="319">
        <f t="shared" si="9"/>
        <v>0.02</v>
      </c>
      <c r="BM23" s="319">
        <f t="shared" si="9"/>
        <v>0.02</v>
      </c>
      <c r="BN23" s="319">
        <f t="shared" si="9"/>
        <v>0.03</v>
      </c>
      <c r="BO23" s="319">
        <f t="shared" si="9"/>
        <v>3.5000000000000003E-2</v>
      </c>
      <c r="BP23" s="319">
        <f t="shared" si="9"/>
        <v>7.4999999999999997E-2</v>
      </c>
      <c r="BQ23" s="319">
        <f t="shared" si="9"/>
        <v>4.4999999999999998E-2</v>
      </c>
    </row>
    <row r="24" spans="1:69" ht="30" x14ac:dyDescent="0.25">
      <c r="A24" s="270" t="s">
        <v>190</v>
      </c>
      <c r="B24" s="271" t="s">
        <v>191</v>
      </c>
      <c r="C24" s="320" t="s">
        <v>192</v>
      </c>
      <c r="D24" s="304">
        <v>5743</v>
      </c>
      <c r="E24" s="304">
        <v>4913</v>
      </c>
      <c r="F24" s="304">
        <v>8735</v>
      </c>
      <c r="G24" s="304">
        <v>5412</v>
      </c>
      <c r="H24" s="304">
        <v>64</v>
      </c>
      <c r="I24" s="304">
        <v>247</v>
      </c>
      <c r="J24" s="304">
        <v>97</v>
      </c>
      <c r="K24" s="584"/>
      <c r="L24" s="304">
        <v>5434</v>
      </c>
      <c r="M24" s="304">
        <v>4667</v>
      </c>
      <c r="N24" s="304">
        <v>4356</v>
      </c>
      <c r="O24" s="304">
        <v>3870</v>
      </c>
      <c r="P24" s="304">
        <v>4185</v>
      </c>
      <c r="Q24" s="304">
        <v>4813</v>
      </c>
      <c r="R24" s="304">
        <v>3416</v>
      </c>
      <c r="T24" s="280" t="s">
        <v>190</v>
      </c>
      <c r="U24" s="332">
        <v>5906</v>
      </c>
      <c r="V24" s="329">
        <v>5599</v>
      </c>
      <c r="W24" s="329">
        <v>8972</v>
      </c>
      <c r="X24" s="329">
        <v>4766</v>
      </c>
      <c r="Y24" s="329">
        <v>193</v>
      </c>
      <c r="Z24" s="329">
        <v>2662</v>
      </c>
      <c r="AA24" s="329">
        <v>445</v>
      </c>
      <c r="AB24" s="329"/>
      <c r="AC24" s="329">
        <v>4572</v>
      </c>
      <c r="AD24" s="329">
        <v>4572</v>
      </c>
      <c r="AE24" s="329">
        <v>4572</v>
      </c>
      <c r="AF24" s="329">
        <v>3542</v>
      </c>
      <c r="AG24" s="329">
        <v>3997</v>
      </c>
      <c r="AH24" s="329">
        <v>5013</v>
      </c>
      <c r="AI24" s="332">
        <v>2541</v>
      </c>
      <c r="AK24" s="280" t="s">
        <v>190</v>
      </c>
      <c r="AL24" s="327">
        <f>U24+300</f>
        <v>6206</v>
      </c>
      <c r="AM24" s="327">
        <f>V24+300</f>
        <v>5899</v>
      </c>
      <c r="AN24" s="327">
        <f>W24+300</f>
        <v>9272</v>
      </c>
      <c r="AO24" s="327">
        <f t="shared" ref="AO24:AY24" si="11">X24+300</f>
        <v>5066</v>
      </c>
      <c r="AP24" s="327">
        <f t="shared" si="11"/>
        <v>493</v>
      </c>
      <c r="AQ24" s="327">
        <f t="shared" si="11"/>
        <v>2962</v>
      </c>
      <c r="AR24" s="327">
        <f t="shared" si="11"/>
        <v>745</v>
      </c>
      <c r="AS24" s="327">
        <f t="shared" si="11"/>
        <v>300</v>
      </c>
      <c r="AT24" s="327">
        <f t="shared" si="11"/>
        <v>4872</v>
      </c>
      <c r="AU24" s="327">
        <f t="shared" si="11"/>
        <v>4872</v>
      </c>
      <c r="AV24" s="327">
        <f t="shared" si="11"/>
        <v>4872</v>
      </c>
      <c r="AW24" s="327">
        <f t="shared" si="11"/>
        <v>3842</v>
      </c>
      <c r="AX24" s="327">
        <f t="shared" si="11"/>
        <v>4297</v>
      </c>
      <c r="AY24" s="327">
        <f t="shared" si="11"/>
        <v>5313</v>
      </c>
      <c r="AZ24" s="327">
        <f>AI24+300</f>
        <v>2841</v>
      </c>
      <c r="BB24" s="280" t="s">
        <v>190</v>
      </c>
      <c r="BC24" s="332">
        <f>U24-300</f>
        <v>5606</v>
      </c>
      <c r="BD24" s="332">
        <f t="shared" ref="BD24:BQ24" si="12">V24-300</f>
        <v>5299</v>
      </c>
      <c r="BE24" s="332">
        <f t="shared" si="12"/>
        <v>8672</v>
      </c>
      <c r="BF24" s="332">
        <f t="shared" si="12"/>
        <v>4466</v>
      </c>
      <c r="BG24" s="332">
        <f t="shared" si="12"/>
        <v>-107</v>
      </c>
      <c r="BH24" s="332">
        <f t="shared" si="12"/>
        <v>2362</v>
      </c>
      <c r="BI24" s="332">
        <f t="shared" si="12"/>
        <v>145</v>
      </c>
      <c r="BJ24" s="332">
        <f t="shared" si="12"/>
        <v>-300</v>
      </c>
      <c r="BK24" s="332">
        <f t="shared" si="12"/>
        <v>4272</v>
      </c>
      <c r="BL24" s="332">
        <f t="shared" si="12"/>
        <v>4272</v>
      </c>
      <c r="BM24" s="332">
        <f t="shared" si="12"/>
        <v>4272</v>
      </c>
      <c r="BN24" s="332">
        <f t="shared" si="12"/>
        <v>3242</v>
      </c>
      <c r="BO24" s="332">
        <f t="shared" si="12"/>
        <v>3697</v>
      </c>
      <c r="BP24" s="332">
        <f t="shared" si="12"/>
        <v>4713</v>
      </c>
      <c r="BQ24" s="332">
        <f t="shared" si="12"/>
        <v>2241</v>
      </c>
    </row>
    <row r="25" spans="1:69" ht="30" x14ac:dyDescent="0.25">
      <c r="A25" s="270" t="s">
        <v>193</v>
      </c>
      <c r="B25" s="271" t="s">
        <v>164</v>
      </c>
      <c r="C25" s="320" t="s">
        <v>162</v>
      </c>
      <c r="D25" s="301">
        <v>52.3</v>
      </c>
      <c r="E25" s="301">
        <v>50</v>
      </c>
      <c r="F25" s="301">
        <v>74.900000000000006</v>
      </c>
      <c r="G25" s="301">
        <v>54.4</v>
      </c>
      <c r="H25" s="301">
        <v>0.3</v>
      </c>
      <c r="I25" s="301">
        <v>2.6</v>
      </c>
      <c r="J25" s="301">
        <v>0.3</v>
      </c>
      <c r="K25" s="584"/>
      <c r="L25" s="301">
        <v>49</v>
      </c>
      <c r="M25" s="301">
        <v>48</v>
      </c>
      <c r="N25" s="301">
        <v>46.2</v>
      </c>
      <c r="O25" s="301">
        <v>41.4</v>
      </c>
      <c r="P25" s="301">
        <v>43.2</v>
      </c>
      <c r="Q25" s="301">
        <v>48.1</v>
      </c>
      <c r="R25" s="301">
        <v>37</v>
      </c>
      <c r="T25" s="280" t="s">
        <v>237</v>
      </c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32"/>
      <c r="AK25" s="280" t="s">
        <v>237</v>
      </c>
      <c r="AL25" s="319"/>
      <c r="AM25" s="327"/>
      <c r="AN25" s="327"/>
      <c r="AO25" s="319"/>
      <c r="AP25" s="319"/>
      <c r="AQ25" s="319"/>
      <c r="AR25" s="319"/>
      <c r="AS25" s="319"/>
      <c r="AT25" s="319"/>
      <c r="AU25" s="319"/>
      <c r="AV25" s="319"/>
      <c r="AW25" s="319"/>
      <c r="AX25" s="319"/>
      <c r="AY25" s="319"/>
      <c r="AZ25" s="319"/>
      <c r="BB25" s="280" t="s">
        <v>237</v>
      </c>
      <c r="BC25" s="319"/>
      <c r="BD25" s="319"/>
      <c r="BE25" s="319"/>
      <c r="BF25" s="319"/>
      <c r="BG25" s="319"/>
      <c r="BH25" s="319"/>
      <c r="BI25" s="319"/>
      <c r="BJ25" s="319"/>
      <c r="BK25" s="319"/>
      <c r="BL25" s="319"/>
      <c r="BM25" s="319"/>
      <c r="BN25" s="319"/>
      <c r="BO25" s="319"/>
      <c r="BP25" s="319"/>
      <c r="BQ25" s="319"/>
    </row>
    <row r="26" spans="1:69" ht="30" x14ac:dyDescent="0.25">
      <c r="A26" s="270" t="s">
        <v>194</v>
      </c>
      <c r="B26" s="271" t="s">
        <v>164</v>
      </c>
      <c r="C26" s="320" t="s">
        <v>162</v>
      </c>
      <c r="D26" s="331">
        <v>7.24</v>
      </c>
      <c r="E26" s="331">
        <v>6.57</v>
      </c>
      <c r="F26" s="331">
        <v>10.6</v>
      </c>
      <c r="G26" s="331">
        <v>6.28</v>
      </c>
      <c r="H26" s="331">
        <v>0.11</v>
      </c>
      <c r="I26" s="331">
        <v>0.28999999999999998</v>
      </c>
      <c r="J26" s="331">
        <v>0.26</v>
      </c>
      <c r="K26" s="584"/>
      <c r="L26" s="331">
        <v>6.96</v>
      </c>
      <c r="M26" s="331">
        <v>5.6</v>
      </c>
      <c r="N26" s="331">
        <v>5.54</v>
      </c>
      <c r="O26" s="331">
        <v>5.25</v>
      </c>
      <c r="P26" s="331">
        <v>5.47</v>
      </c>
      <c r="Q26" s="331">
        <v>6.45</v>
      </c>
      <c r="R26" s="331">
        <v>4.78</v>
      </c>
      <c r="T26" s="280" t="s">
        <v>238</v>
      </c>
      <c r="U26" s="329">
        <v>7.4</v>
      </c>
      <c r="V26" s="329">
        <v>6.1</v>
      </c>
      <c r="W26" s="329">
        <v>10.1</v>
      </c>
      <c r="X26" s="329">
        <v>5.9</v>
      </c>
      <c r="Y26" s="329">
        <v>0.4</v>
      </c>
      <c r="Z26" s="329">
        <v>2</v>
      </c>
      <c r="AA26" s="329">
        <v>1</v>
      </c>
      <c r="AB26" s="329"/>
      <c r="AC26" s="329">
        <v>6.3</v>
      </c>
      <c r="AD26" s="329">
        <v>6.3</v>
      </c>
      <c r="AE26" s="329">
        <v>6.3</v>
      </c>
      <c r="AF26" s="329">
        <v>5</v>
      </c>
      <c r="AG26" s="329">
        <v>5.4</v>
      </c>
      <c r="AH26" s="329">
        <v>6.7</v>
      </c>
      <c r="AI26" s="332">
        <v>3.7</v>
      </c>
      <c r="AK26" s="280" t="s">
        <v>238</v>
      </c>
      <c r="AL26" s="319">
        <f t="shared" ref="AL26:AZ26" si="13">U26+((20/100)*U26)</f>
        <v>8.8800000000000008</v>
      </c>
      <c r="AM26" s="319">
        <f t="shared" si="13"/>
        <v>7.3199999999999994</v>
      </c>
      <c r="AN26" s="319">
        <f t="shared" si="13"/>
        <v>12.12</v>
      </c>
      <c r="AO26" s="319">
        <f t="shared" si="13"/>
        <v>7.08</v>
      </c>
      <c r="AP26" s="319">
        <f t="shared" si="13"/>
        <v>0.48000000000000004</v>
      </c>
      <c r="AQ26" s="319">
        <f t="shared" si="13"/>
        <v>2.4</v>
      </c>
      <c r="AR26" s="319">
        <f t="shared" si="13"/>
        <v>1.2</v>
      </c>
      <c r="AS26" s="319">
        <f t="shared" si="13"/>
        <v>0</v>
      </c>
      <c r="AT26" s="319">
        <f t="shared" si="13"/>
        <v>7.56</v>
      </c>
      <c r="AU26" s="319">
        <f t="shared" si="13"/>
        <v>7.56</v>
      </c>
      <c r="AV26" s="319">
        <f t="shared" si="13"/>
        <v>7.56</v>
      </c>
      <c r="AW26" s="319">
        <f t="shared" si="13"/>
        <v>6</v>
      </c>
      <c r="AX26" s="319">
        <f t="shared" si="13"/>
        <v>6.48</v>
      </c>
      <c r="AY26" s="319">
        <f t="shared" si="13"/>
        <v>8.0400000000000009</v>
      </c>
      <c r="AZ26" s="319">
        <f t="shared" si="13"/>
        <v>4.4400000000000004</v>
      </c>
      <c r="BB26" s="280" t="s">
        <v>238</v>
      </c>
      <c r="BC26" s="322">
        <f t="shared" ref="BC26:BQ26" si="14">U26-((20/100)*U26)</f>
        <v>5.92</v>
      </c>
      <c r="BD26" s="322">
        <f t="shared" si="14"/>
        <v>4.88</v>
      </c>
      <c r="BE26" s="322">
        <f t="shared" si="14"/>
        <v>8.08</v>
      </c>
      <c r="BF26" s="322">
        <f t="shared" si="14"/>
        <v>4.7200000000000006</v>
      </c>
      <c r="BG26" s="322">
        <f t="shared" si="14"/>
        <v>0.32</v>
      </c>
      <c r="BH26" s="322">
        <f t="shared" si="14"/>
        <v>1.6</v>
      </c>
      <c r="BI26" s="322">
        <f t="shared" si="14"/>
        <v>0.8</v>
      </c>
      <c r="BJ26" s="322">
        <f t="shared" si="14"/>
        <v>0</v>
      </c>
      <c r="BK26" s="322">
        <f t="shared" si="14"/>
        <v>5.04</v>
      </c>
      <c r="BL26" s="322">
        <f t="shared" si="14"/>
        <v>5.04</v>
      </c>
      <c r="BM26" s="322">
        <f t="shared" si="14"/>
        <v>5.04</v>
      </c>
      <c r="BN26" s="322">
        <f t="shared" si="14"/>
        <v>4</v>
      </c>
      <c r="BO26" s="322">
        <f t="shared" si="14"/>
        <v>4.32</v>
      </c>
      <c r="BP26" s="322">
        <f t="shared" si="14"/>
        <v>5.36</v>
      </c>
      <c r="BQ26" s="322">
        <f t="shared" si="14"/>
        <v>2.96</v>
      </c>
    </row>
    <row r="27" spans="1:69" ht="24.75" customHeight="1" x14ac:dyDescent="0.25">
      <c r="A27" s="270" t="s">
        <v>212</v>
      </c>
      <c r="B27" s="333" t="s">
        <v>191</v>
      </c>
      <c r="C27" s="320" t="s">
        <v>192</v>
      </c>
      <c r="D27" s="304">
        <v>5387</v>
      </c>
      <c r="E27" s="304">
        <v>4590</v>
      </c>
      <c r="F27" s="304">
        <v>8214</v>
      </c>
      <c r="G27" s="304">
        <v>5103</v>
      </c>
      <c r="H27" s="304">
        <v>59</v>
      </c>
      <c r="I27" s="304">
        <v>233</v>
      </c>
      <c r="J27" s="304">
        <v>84</v>
      </c>
      <c r="K27" s="585"/>
      <c r="L27" s="304">
        <v>5092</v>
      </c>
      <c r="M27" s="304">
        <v>4391</v>
      </c>
      <c r="N27" s="304">
        <v>4083</v>
      </c>
      <c r="O27" s="304">
        <v>3612</v>
      </c>
      <c r="P27" s="304">
        <v>3916</v>
      </c>
      <c r="Q27" s="304">
        <v>4496</v>
      </c>
      <c r="R27" s="304">
        <v>3181</v>
      </c>
      <c r="T27" s="280" t="s">
        <v>212</v>
      </c>
      <c r="U27" s="329">
        <v>5545</v>
      </c>
      <c r="V27" s="329">
        <v>5289</v>
      </c>
      <c r="W27" s="329">
        <v>8477</v>
      </c>
      <c r="X27" s="329">
        <v>4478</v>
      </c>
      <c r="Y27" s="329">
        <v>171</v>
      </c>
      <c r="Z27" s="329">
        <v>2562</v>
      </c>
      <c r="AA27" s="329">
        <v>395</v>
      </c>
      <c r="AB27" s="329"/>
      <c r="AC27" s="329">
        <v>4276</v>
      </c>
      <c r="AD27" s="329">
        <v>4276</v>
      </c>
      <c r="AE27" s="329">
        <v>4276</v>
      </c>
      <c r="AF27" s="329">
        <v>3294</v>
      </c>
      <c r="AG27" s="329">
        <v>3729</v>
      </c>
      <c r="AH27" s="329">
        <v>4645</v>
      </c>
      <c r="AI27" s="332">
        <v>2360</v>
      </c>
      <c r="AK27" s="280" t="s">
        <v>212</v>
      </c>
      <c r="AL27" s="327">
        <f>U27+300</f>
        <v>5845</v>
      </c>
      <c r="AM27" s="327">
        <f t="shared" ref="AM27:AZ27" si="15">V27+300</f>
        <v>5589</v>
      </c>
      <c r="AN27" s="327">
        <f t="shared" si="15"/>
        <v>8777</v>
      </c>
      <c r="AO27" s="327">
        <f t="shared" si="15"/>
        <v>4778</v>
      </c>
      <c r="AP27" s="327">
        <f t="shared" si="15"/>
        <v>471</v>
      </c>
      <c r="AQ27" s="327">
        <f t="shared" si="15"/>
        <v>2862</v>
      </c>
      <c r="AR27" s="327">
        <f t="shared" si="15"/>
        <v>695</v>
      </c>
      <c r="AS27" s="327">
        <f t="shared" si="15"/>
        <v>300</v>
      </c>
      <c r="AT27" s="327">
        <f t="shared" si="15"/>
        <v>4576</v>
      </c>
      <c r="AU27" s="327">
        <f t="shared" si="15"/>
        <v>4576</v>
      </c>
      <c r="AV27" s="327">
        <f t="shared" si="15"/>
        <v>4576</v>
      </c>
      <c r="AW27" s="327">
        <f t="shared" si="15"/>
        <v>3594</v>
      </c>
      <c r="AX27" s="327">
        <f t="shared" si="15"/>
        <v>4029</v>
      </c>
      <c r="AY27" s="327">
        <f t="shared" si="15"/>
        <v>4945</v>
      </c>
      <c r="AZ27" s="327">
        <f t="shared" si="15"/>
        <v>2660</v>
      </c>
      <c r="BB27" s="280" t="s">
        <v>212</v>
      </c>
      <c r="BC27" s="332">
        <f t="shared" ref="BC27:BQ27" si="16">U27-300</f>
        <v>5245</v>
      </c>
      <c r="BD27" s="332">
        <f t="shared" si="16"/>
        <v>4989</v>
      </c>
      <c r="BE27" s="332">
        <f t="shared" si="16"/>
        <v>8177</v>
      </c>
      <c r="BF27" s="332">
        <f t="shared" si="16"/>
        <v>4178</v>
      </c>
      <c r="BG27" s="332">
        <f t="shared" si="16"/>
        <v>-129</v>
      </c>
      <c r="BH27" s="332">
        <f t="shared" si="16"/>
        <v>2262</v>
      </c>
      <c r="BI27" s="332">
        <f t="shared" si="16"/>
        <v>95</v>
      </c>
      <c r="BJ27" s="332">
        <f t="shared" si="16"/>
        <v>-300</v>
      </c>
      <c r="BK27" s="332">
        <f t="shared" si="16"/>
        <v>3976</v>
      </c>
      <c r="BL27" s="332">
        <f t="shared" si="16"/>
        <v>3976</v>
      </c>
      <c r="BM27" s="332">
        <f t="shared" si="16"/>
        <v>3976</v>
      </c>
      <c r="BN27" s="332">
        <f t="shared" si="16"/>
        <v>2994</v>
      </c>
      <c r="BO27" s="332">
        <f t="shared" si="16"/>
        <v>3429</v>
      </c>
      <c r="BP27" s="332">
        <f t="shared" si="16"/>
        <v>4345</v>
      </c>
      <c r="BQ27" s="332">
        <f t="shared" si="16"/>
        <v>2060</v>
      </c>
    </row>
    <row r="28" spans="1:69" x14ac:dyDescent="0.25"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4"/>
    </row>
    <row r="29" spans="1:69" x14ac:dyDescent="0.25">
      <c r="E29" s="334"/>
    </row>
    <row r="30" spans="1:69" x14ac:dyDescent="0.25">
      <c r="D30" s="582"/>
      <c r="E30" s="582"/>
    </row>
  </sheetData>
  <mergeCells count="15">
    <mergeCell ref="B12:B14"/>
    <mergeCell ref="D1:G1"/>
    <mergeCell ref="H1:K1"/>
    <mergeCell ref="L1:O1"/>
    <mergeCell ref="P1:R1"/>
    <mergeCell ref="D2:G2"/>
    <mergeCell ref="H2:K2"/>
    <mergeCell ref="L2:O2"/>
    <mergeCell ref="P2:R2"/>
    <mergeCell ref="D30:E30"/>
    <mergeCell ref="D3:G3"/>
    <mergeCell ref="H3:K3"/>
    <mergeCell ref="L3:O3"/>
    <mergeCell ref="P3:R3"/>
    <mergeCell ref="K5:K27"/>
  </mergeCells>
  <conditionalFormatting sqref="L10:P10 R10 D10:J11 L11:R11">
    <cfRule type="cellIs" dxfId="89" priority="49" operator="lessThan">
      <formula>BC10</formula>
    </cfRule>
    <cfRule type="cellIs" dxfId="88" priority="50" operator="greaterThan">
      <formula>AL10</formula>
    </cfRule>
  </conditionalFormatting>
  <conditionalFormatting sqref="D9:J9 L9:P9 R9">
    <cfRule type="cellIs" dxfId="87" priority="47" operator="lessThan">
      <formula>BC9</formula>
    </cfRule>
    <cfRule type="cellIs" dxfId="86" priority="48" operator="greaterThan">
      <formula>AL9</formula>
    </cfRule>
  </conditionalFormatting>
  <conditionalFormatting sqref="D12:J13 L12:P13 F14 I14 M14:O14 R12:R14">
    <cfRule type="cellIs" dxfId="85" priority="45" operator="lessThan">
      <formula>BC12</formula>
    </cfRule>
    <cfRule type="cellIs" dxfId="84" priority="46" operator="greaterThan">
      <formula>AL12</formula>
    </cfRule>
  </conditionalFormatting>
  <conditionalFormatting sqref="D16:J16 L16:P16 L18:P23 M17:N17 D18:J23 D17:I17 P17 R16:R23">
    <cfRule type="cellIs" dxfId="83" priority="43" operator="lessThan">
      <formula>BC16</formula>
    </cfRule>
    <cfRule type="cellIs" dxfId="82" priority="44" operator="greaterThan">
      <formula>AL16</formula>
    </cfRule>
  </conditionalFormatting>
  <conditionalFormatting sqref="D26:J26 L26:P26 R26">
    <cfRule type="cellIs" dxfId="81" priority="41" operator="lessThan">
      <formula>BC26</formula>
    </cfRule>
    <cfRule type="cellIs" dxfId="80" priority="42" operator="greaterThan">
      <formula>AL26</formula>
    </cfRule>
  </conditionalFormatting>
  <conditionalFormatting sqref="D24:J24 L24:P24 R24">
    <cfRule type="cellIs" dxfId="79" priority="39" operator="lessThan">
      <formula>BC24</formula>
    </cfRule>
    <cfRule type="cellIs" dxfId="78" priority="40" operator="greaterThan">
      <formula>AL24</formula>
    </cfRule>
  </conditionalFormatting>
  <conditionalFormatting sqref="J17 L17">
    <cfRule type="cellIs" dxfId="77" priority="37" operator="lessThan">
      <formula>BI17</formula>
    </cfRule>
    <cfRule type="cellIs" dxfId="76" priority="38" operator="greaterThan">
      <formula>AR17</formula>
    </cfRule>
  </conditionalFormatting>
  <conditionalFormatting sqref="O17">
    <cfRule type="cellIs" dxfId="75" priority="35" operator="lessThan">
      <formula>BN17</formula>
    </cfRule>
    <cfRule type="cellIs" dxfId="74" priority="36" operator="greaterThan">
      <formula>AW17</formula>
    </cfRule>
  </conditionalFormatting>
  <conditionalFormatting sqref="D14:E14">
    <cfRule type="cellIs" dxfId="73" priority="33" operator="lessThan">
      <formula>BC14</formula>
    </cfRule>
    <cfRule type="cellIs" dxfId="72" priority="34" operator="greaterThan">
      <formula>AL14</formula>
    </cfRule>
  </conditionalFormatting>
  <conditionalFormatting sqref="G14:H14">
    <cfRule type="cellIs" dxfId="71" priority="31" operator="lessThan">
      <formula>BF14</formula>
    </cfRule>
    <cfRule type="cellIs" dxfId="70" priority="32" operator="greaterThan">
      <formula>AO14</formula>
    </cfRule>
  </conditionalFormatting>
  <conditionalFormatting sqref="J14">
    <cfRule type="cellIs" dxfId="69" priority="29" operator="lessThan">
      <formula>BI14</formula>
    </cfRule>
    <cfRule type="cellIs" dxfId="68" priority="30" operator="greaterThan">
      <formula>AR14</formula>
    </cfRule>
  </conditionalFormatting>
  <conditionalFormatting sqref="L14">
    <cfRule type="cellIs" dxfId="67" priority="27" operator="lessThan">
      <formula>BK14</formula>
    </cfRule>
    <cfRule type="cellIs" dxfId="66" priority="28" operator="greaterThan">
      <formula>AT14</formula>
    </cfRule>
  </conditionalFormatting>
  <conditionalFormatting sqref="P14">
    <cfRule type="cellIs" dxfId="65" priority="25" operator="lessThan">
      <formula>BO14</formula>
    </cfRule>
    <cfRule type="cellIs" dxfId="64" priority="26" operator="greaterThan">
      <formula>AX14</formula>
    </cfRule>
  </conditionalFormatting>
  <conditionalFormatting sqref="D5:J5">
    <cfRule type="cellIs" dxfId="63" priority="23" operator="lessThan">
      <formula>BC5</formula>
    </cfRule>
    <cfRule type="cellIs" dxfId="62" priority="24" operator="greaterThan">
      <formula>AL5</formula>
    </cfRule>
  </conditionalFormatting>
  <conditionalFormatting sqref="L5:P5 R5">
    <cfRule type="cellIs" dxfId="61" priority="21" operator="lessThan">
      <formula>BK5</formula>
    </cfRule>
    <cfRule type="cellIs" dxfId="60" priority="22" operator="greaterThan">
      <formula>AT5</formula>
    </cfRule>
  </conditionalFormatting>
  <conditionalFormatting sqref="D27:J27 R27 L27:P27">
    <cfRule type="cellIs" dxfId="59" priority="19" operator="lessThan">
      <formula>BC27</formula>
    </cfRule>
    <cfRule type="cellIs" dxfId="58" priority="20" operator="greaterThan">
      <formula>AL27</formula>
    </cfRule>
  </conditionalFormatting>
  <conditionalFormatting sqref="Q10">
    <cfRule type="cellIs" dxfId="57" priority="17" operator="lessThan">
      <formula>BP10</formula>
    </cfRule>
    <cfRule type="cellIs" dxfId="56" priority="18" operator="greaterThan">
      <formula>AY10</formula>
    </cfRule>
  </conditionalFormatting>
  <conditionalFormatting sqref="Q9">
    <cfRule type="cellIs" dxfId="55" priority="15" operator="lessThan">
      <formula>BP9</formula>
    </cfRule>
    <cfRule type="cellIs" dxfId="54" priority="16" operator="greaterThan">
      <formula>AY9</formula>
    </cfRule>
  </conditionalFormatting>
  <conditionalFormatting sqref="Q5">
    <cfRule type="cellIs" dxfId="53" priority="13" operator="lessThan">
      <formula>BP5</formula>
    </cfRule>
    <cfRule type="cellIs" dxfId="52" priority="14" operator="greaterThan">
      <formula>AY5</formula>
    </cfRule>
  </conditionalFormatting>
  <conditionalFormatting sqref="Q12:Q13">
    <cfRule type="cellIs" dxfId="51" priority="11" operator="lessThan">
      <formula>BP12</formula>
    </cfRule>
    <cfRule type="cellIs" dxfId="50" priority="12" operator="greaterThan">
      <formula>AY12</formula>
    </cfRule>
  </conditionalFormatting>
  <conditionalFormatting sqref="Q16:Q23">
    <cfRule type="cellIs" dxfId="49" priority="9" operator="lessThan">
      <formula>BP16</formula>
    </cfRule>
    <cfRule type="cellIs" dxfId="48" priority="10" operator="greaterThan">
      <formula>AY16</formula>
    </cfRule>
  </conditionalFormatting>
  <conditionalFormatting sqref="Q26">
    <cfRule type="cellIs" dxfId="47" priority="7" operator="lessThan">
      <formula>BP26</formula>
    </cfRule>
    <cfRule type="cellIs" dxfId="46" priority="8" operator="greaterThan">
      <formula>AY26</formula>
    </cfRule>
  </conditionalFormatting>
  <conditionalFormatting sqref="Q24">
    <cfRule type="cellIs" dxfId="45" priority="5" operator="lessThan">
      <formula>BP24</formula>
    </cfRule>
    <cfRule type="cellIs" dxfId="44" priority="6" operator="greaterThan">
      <formula>AY24</formula>
    </cfRule>
  </conditionalFormatting>
  <conditionalFormatting sqref="Q14">
    <cfRule type="cellIs" dxfId="43" priority="3" operator="lessThan">
      <formula>BP14</formula>
    </cfRule>
    <cfRule type="cellIs" dxfId="42" priority="4" operator="greaterThan">
      <formula>AY14</formula>
    </cfRule>
  </conditionalFormatting>
  <conditionalFormatting sqref="Q27">
    <cfRule type="cellIs" dxfId="41" priority="1" operator="lessThan">
      <formula>BP27</formula>
    </cfRule>
    <cfRule type="cellIs" dxfId="40" priority="2" operator="greaterThan">
      <formula>AY27</formula>
    </cfRule>
  </conditionalFormatting>
  <pageMargins left="0.70866141732283472" right="0.70866141732283472" top="0.74803149606299213" bottom="0.74803149606299213" header="0.31496062992125984" footer="0.31496062992125984"/>
  <pageSetup paperSize="9" scale="85" fitToWidth="0" orientation="portrait" horizontalDpi="4294967294" r:id="rId1"/>
  <headerFooter alignWithMargins="0">
    <oddFooter>&amp;L&amp;"Rockwell,Gras"&amp;P/&amp;N&amp;C&amp;"Rockwell,Gras"&amp;D&amp;R&amp;"Rockwell,Gras"&amp;F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I42"/>
  <sheetViews>
    <sheetView topLeftCell="A16" zoomScale="90" zoomScaleNormal="90" workbookViewId="0">
      <selection activeCell="J15" sqref="J15"/>
    </sheetView>
  </sheetViews>
  <sheetFormatPr baseColWidth="10" defaultRowHeight="15" x14ac:dyDescent="0.25"/>
  <cols>
    <col min="1" max="1" width="11.42578125" style="257"/>
    <col min="2" max="2" width="26.140625" style="257" bestFit="1" customWidth="1"/>
    <col min="3" max="3" width="18.7109375" style="257" bestFit="1" customWidth="1"/>
    <col min="4" max="4" width="22.85546875" style="257" customWidth="1"/>
    <col min="5" max="5" width="14" style="257" customWidth="1"/>
    <col min="6" max="7" width="13.140625" style="257" customWidth="1"/>
    <col min="8" max="8" width="13.85546875" style="257" customWidth="1"/>
    <col min="9" max="16384" width="11.42578125" style="258"/>
  </cols>
  <sheetData>
    <row r="1" spans="1:9" ht="24.95" customHeight="1" x14ac:dyDescent="0.25">
      <c r="B1" s="572" t="s">
        <v>239</v>
      </c>
      <c r="C1" s="572"/>
      <c r="D1" s="572"/>
      <c r="E1" s="572"/>
      <c r="F1" s="572"/>
      <c r="G1" s="336"/>
      <c r="H1" s="336"/>
    </row>
    <row r="2" spans="1:9" ht="24.95" customHeight="1" x14ac:dyDescent="0.25">
      <c r="B2" s="573" t="s">
        <v>219</v>
      </c>
      <c r="C2" s="573"/>
      <c r="D2" s="573"/>
      <c r="E2" s="573"/>
      <c r="F2" s="573"/>
      <c r="G2" s="336"/>
      <c r="H2" s="336"/>
    </row>
    <row r="3" spans="1:9" ht="24.95" customHeight="1" x14ac:dyDescent="0.25">
      <c r="B3" s="574" t="s">
        <v>240</v>
      </c>
      <c r="C3" s="574"/>
      <c r="D3" s="574"/>
      <c r="E3" s="574"/>
      <c r="F3" s="574"/>
      <c r="G3" s="336"/>
      <c r="H3" s="336"/>
    </row>
    <row r="4" spans="1:9" s="339" customFormat="1" ht="24.95" customHeight="1" x14ac:dyDescent="0.25">
      <c r="A4" s="337"/>
      <c r="B4" s="262"/>
      <c r="C4" s="263" t="s">
        <v>241</v>
      </c>
      <c r="D4" s="263" t="s">
        <v>242</v>
      </c>
      <c r="E4" s="263" t="s">
        <v>243</v>
      </c>
      <c r="F4" s="263" t="s">
        <v>244</v>
      </c>
      <c r="G4" s="338"/>
      <c r="H4" s="338"/>
    </row>
    <row r="5" spans="1:9" ht="24.95" customHeight="1" x14ac:dyDescent="0.25">
      <c r="B5" s="262" t="s">
        <v>245</v>
      </c>
      <c r="C5" s="340">
        <v>52</v>
      </c>
      <c r="D5" s="341">
        <v>7.2</v>
      </c>
      <c r="E5" s="342">
        <v>5401</v>
      </c>
      <c r="F5" s="342">
        <v>5047</v>
      </c>
      <c r="G5" s="343"/>
      <c r="H5" s="344"/>
      <c r="I5" s="345"/>
    </row>
    <row r="6" spans="1:9" ht="24.95" customHeight="1" x14ac:dyDescent="0.25">
      <c r="B6" s="262" t="s">
        <v>246</v>
      </c>
      <c r="C6" s="340">
        <v>47.7</v>
      </c>
      <c r="D6" s="341">
        <v>6.32</v>
      </c>
      <c r="E6" s="342">
        <v>4945</v>
      </c>
      <c r="F6" s="342">
        <v>4634</v>
      </c>
      <c r="G6" s="343"/>
      <c r="H6" s="344"/>
      <c r="I6" s="345"/>
    </row>
    <row r="7" spans="1:9" ht="24.95" customHeight="1" x14ac:dyDescent="0.25">
      <c r="B7" s="262" t="s">
        <v>247</v>
      </c>
      <c r="C7" s="340">
        <v>47.6</v>
      </c>
      <c r="D7" s="341">
        <v>6.19</v>
      </c>
      <c r="E7" s="342">
        <v>4986</v>
      </c>
      <c r="F7" s="342">
        <v>4681</v>
      </c>
      <c r="G7" s="343"/>
      <c r="H7" s="344"/>
      <c r="I7" s="345"/>
    </row>
    <row r="8" spans="1:9" ht="24.95" customHeight="1" x14ac:dyDescent="0.25">
      <c r="B8" s="262" t="s">
        <v>248</v>
      </c>
      <c r="C8" s="340">
        <v>45.4</v>
      </c>
      <c r="D8" s="341">
        <v>6.04</v>
      </c>
      <c r="E8" s="342">
        <v>4860</v>
      </c>
      <c r="F8" s="342">
        <v>4563</v>
      </c>
      <c r="G8" s="343"/>
      <c r="H8" s="344"/>
      <c r="I8" s="345"/>
    </row>
    <row r="9" spans="1:9" ht="24.95" customHeight="1" x14ac:dyDescent="0.25">
      <c r="B9" s="262" t="s">
        <v>249</v>
      </c>
      <c r="C9" s="340">
        <v>45.5</v>
      </c>
      <c r="D9" s="341">
        <v>5.91</v>
      </c>
      <c r="E9" s="342">
        <v>4613</v>
      </c>
      <c r="F9" s="342">
        <v>4322</v>
      </c>
      <c r="G9" s="343"/>
      <c r="H9" s="344"/>
      <c r="I9" s="345"/>
    </row>
    <row r="10" spans="1:9" ht="24.95" customHeight="1" x14ac:dyDescent="0.25">
      <c r="B10" s="262" t="s">
        <v>250</v>
      </c>
      <c r="C10" s="340">
        <v>50.4</v>
      </c>
      <c r="D10" s="341">
        <v>6.51</v>
      </c>
      <c r="E10" s="342">
        <v>4954</v>
      </c>
      <c r="F10" s="342">
        <v>4634</v>
      </c>
      <c r="G10" s="343"/>
      <c r="H10" s="344"/>
      <c r="I10" s="345"/>
    </row>
    <row r="11" spans="1:9" ht="24.95" customHeight="1" x14ac:dyDescent="0.25">
      <c r="B11" s="262" t="s">
        <v>251</v>
      </c>
      <c r="C11" s="340">
        <v>47.6</v>
      </c>
      <c r="D11" s="341">
        <v>6.37</v>
      </c>
      <c r="E11" s="342">
        <v>4750</v>
      </c>
      <c r="F11" s="342">
        <v>4437</v>
      </c>
      <c r="G11" s="343"/>
      <c r="H11" s="344"/>
      <c r="I11" s="345"/>
    </row>
    <row r="12" spans="1:9" ht="24.95" customHeight="1" x14ac:dyDescent="0.25">
      <c r="B12" s="262" t="s">
        <v>252</v>
      </c>
      <c r="C12" s="340">
        <v>46.6</v>
      </c>
      <c r="D12" s="341">
        <v>6.31</v>
      </c>
      <c r="E12" s="342">
        <v>4863</v>
      </c>
      <c r="F12" s="342">
        <v>4553</v>
      </c>
      <c r="G12" s="343"/>
      <c r="H12" s="344"/>
      <c r="I12" s="345"/>
    </row>
    <row r="13" spans="1:9" ht="24.95" customHeight="1" x14ac:dyDescent="0.25"/>
    <row r="14" spans="1:9" ht="24.95" customHeight="1" x14ac:dyDescent="0.25">
      <c r="B14" s="586" t="s">
        <v>239</v>
      </c>
      <c r="C14" s="587"/>
      <c r="D14" s="587"/>
      <c r="E14" s="587"/>
      <c r="F14" s="588"/>
    </row>
    <row r="15" spans="1:9" ht="24.95" customHeight="1" x14ac:dyDescent="0.25">
      <c r="B15" s="589" t="str">
        <f>B2</f>
        <v>Campagne : Printemps 2015</v>
      </c>
      <c r="C15" s="590"/>
      <c r="D15" s="590"/>
      <c r="E15" s="590"/>
      <c r="F15" s="591"/>
    </row>
    <row r="16" spans="1:9" ht="24.95" customHeight="1" x14ac:dyDescent="0.25">
      <c r="B16" s="592" t="s">
        <v>253</v>
      </c>
      <c r="C16" s="593"/>
      <c r="D16" s="593"/>
      <c r="E16" s="593"/>
      <c r="F16" s="594"/>
    </row>
    <row r="17" spans="2:8" ht="24.95" customHeight="1" x14ac:dyDescent="0.25">
      <c r="B17" s="262"/>
      <c r="C17" s="263" t="s">
        <v>241</v>
      </c>
      <c r="D17" s="263" t="s">
        <v>242</v>
      </c>
      <c r="E17" s="263" t="s">
        <v>243</v>
      </c>
      <c r="F17" s="263" t="s">
        <v>244</v>
      </c>
    </row>
    <row r="18" spans="2:8" ht="24.95" customHeight="1" x14ac:dyDescent="0.25">
      <c r="B18" s="262" t="s">
        <v>86</v>
      </c>
      <c r="C18" s="346">
        <v>0.95153402537485576</v>
      </c>
      <c r="D18" s="275">
        <v>0.18197577854671279</v>
      </c>
      <c r="E18" s="276">
        <v>120.45640138408304</v>
      </c>
      <c r="F18" s="276">
        <v>111.7876585928489</v>
      </c>
    </row>
    <row r="19" spans="2:8" ht="24.95" customHeight="1" x14ac:dyDescent="0.25"/>
    <row r="20" spans="2:8" ht="24.95" customHeight="1" x14ac:dyDescent="0.25">
      <c r="B20" s="572" t="s">
        <v>239</v>
      </c>
      <c r="C20" s="572"/>
      <c r="D20" s="572"/>
      <c r="E20" s="572"/>
      <c r="F20" s="572"/>
      <c r="G20" s="572"/>
      <c r="H20" s="572"/>
    </row>
    <row r="21" spans="2:8" ht="24.95" customHeight="1" x14ac:dyDescent="0.25">
      <c r="B21" s="573" t="str">
        <f>B15</f>
        <v>Campagne : Printemps 2015</v>
      </c>
      <c r="C21" s="573"/>
      <c r="D21" s="573"/>
      <c r="E21" s="573"/>
      <c r="F21" s="573"/>
      <c r="G21" s="573"/>
      <c r="H21" s="573"/>
    </row>
    <row r="22" spans="2:8" ht="24.95" customHeight="1" x14ac:dyDescent="0.25">
      <c r="B22" s="574" t="s">
        <v>254</v>
      </c>
      <c r="C22" s="574"/>
      <c r="D22" s="574"/>
      <c r="E22" s="574"/>
      <c r="F22" s="574"/>
      <c r="G22" s="574"/>
      <c r="H22" s="574"/>
    </row>
    <row r="23" spans="2:8" ht="24.95" customHeight="1" x14ac:dyDescent="0.25">
      <c r="B23" s="262"/>
      <c r="C23" s="263" t="s">
        <v>241</v>
      </c>
      <c r="D23" s="263" t="s">
        <v>242</v>
      </c>
      <c r="E23" s="263" t="s">
        <v>243</v>
      </c>
      <c r="F23" s="263" t="s">
        <v>244</v>
      </c>
      <c r="G23" s="263" t="s">
        <v>255</v>
      </c>
      <c r="H23" s="263" t="s">
        <v>256</v>
      </c>
    </row>
    <row r="24" spans="2:8" ht="24.95" customHeight="1" x14ac:dyDescent="0.25">
      <c r="B24" s="262" t="str">
        <f>B5</f>
        <v>ISS_H15 PC PAR</v>
      </c>
      <c r="C24" s="273">
        <v>46.078377946943483</v>
      </c>
      <c r="D24" s="275">
        <v>6.3859091903114189</v>
      </c>
      <c r="E24" s="276">
        <v>4788.4569425605541</v>
      </c>
      <c r="F24" s="276">
        <v>4474.2702103972324</v>
      </c>
      <c r="G24" s="347">
        <v>43.7</v>
      </c>
      <c r="H24" s="276">
        <v>2278.6641284536418</v>
      </c>
    </row>
    <row r="25" spans="2:8" ht="24.95" customHeight="1" x14ac:dyDescent="0.25">
      <c r="B25" s="262" t="str">
        <f t="shared" ref="B25:B31" si="0">B6</f>
        <v>ISS_H15 PC BAN</v>
      </c>
      <c r="C25" s="273">
        <v>41.856441753171865</v>
      </c>
      <c r="D25" s="275">
        <v>5.5527469723183396</v>
      </c>
      <c r="E25" s="276">
        <v>4341.9320501730108</v>
      </c>
      <c r="F25" s="276">
        <v>4068.7368991349485</v>
      </c>
      <c r="G25" s="347">
        <v>41.8</v>
      </c>
      <c r="H25" s="276">
        <v>2138.1048752965403</v>
      </c>
    </row>
    <row r="26" spans="2:8" ht="24.95" customHeight="1" x14ac:dyDescent="0.25">
      <c r="B26" s="262" t="str">
        <f t="shared" si="0"/>
        <v>STO_H15  PC PAR</v>
      </c>
      <c r="C26" s="273">
        <v>40.042948512110726</v>
      </c>
      <c r="D26" s="275">
        <v>5.2167000761245674</v>
      </c>
      <c r="E26" s="276">
        <v>4197.7819370242214</v>
      </c>
      <c r="F26" s="276">
        <v>3941.1202932788929</v>
      </c>
      <c r="G26" s="347">
        <v>36.700000000000003</v>
      </c>
      <c r="H26" s="276">
        <v>2292.8791456455392</v>
      </c>
    </row>
    <row r="27" spans="2:8" ht="24.95" customHeight="1" x14ac:dyDescent="0.25">
      <c r="B27" s="262" t="str">
        <f t="shared" si="0"/>
        <v>STO_H15  PC BAN</v>
      </c>
      <c r="C27" s="273">
        <v>40.06618408304498</v>
      </c>
      <c r="D27" s="275">
        <v>5.3370370934256055</v>
      </c>
      <c r="E27" s="276">
        <v>4291.2547681660899</v>
      </c>
      <c r="F27" s="276">
        <v>4028.67254316955</v>
      </c>
      <c r="G27" s="347">
        <v>33</v>
      </c>
      <c r="H27" s="276">
        <v>2517.7106039235987</v>
      </c>
    </row>
    <row r="28" spans="2:8" ht="24.95" customHeight="1" x14ac:dyDescent="0.25">
      <c r="B28" s="262" t="str">
        <f t="shared" si="0"/>
        <v>ROM_H15  PC PAR</v>
      </c>
      <c r="C28" s="273">
        <v>36.634855271049595</v>
      </c>
      <c r="D28" s="275">
        <v>4.7701231799307955</v>
      </c>
      <c r="E28" s="276">
        <v>3718.9838238754323</v>
      </c>
      <c r="F28" s="276">
        <v>3484.2937634228374</v>
      </c>
      <c r="G28" s="347">
        <v>40</v>
      </c>
      <c r="H28" s="276">
        <v>1870.5762580537025</v>
      </c>
    </row>
    <row r="29" spans="2:8" ht="24.95" customHeight="1" x14ac:dyDescent="0.25">
      <c r="B29" s="262" t="str">
        <f t="shared" si="0"/>
        <v>ROM_H15  PC BAN</v>
      </c>
      <c r="C29" s="273">
        <v>39.224646689734719</v>
      </c>
      <c r="D29" s="275">
        <v>5.079866525951557</v>
      </c>
      <c r="E29" s="276">
        <v>3861.6191467128028</v>
      </c>
      <c r="F29" s="276">
        <v>3611.6897136359862</v>
      </c>
      <c r="G29" s="347">
        <v>42.7</v>
      </c>
      <c r="H29" s="276">
        <v>1834.64820591342</v>
      </c>
    </row>
    <row r="30" spans="2:8" ht="24.95" customHeight="1" x14ac:dyDescent="0.25">
      <c r="B30" s="262" t="str">
        <f t="shared" si="0"/>
        <v>IV13_H15  PC PAR</v>
      </c>
      <c r="C30" s="273">
        <v>40.136245444059981</v>
      </c>
      <c r="D30" s="275">
        <v>5.3799161245674734</v>
      </c>
      <c r="E30" s="276">
        <v>4009.2730242214534</v>
      </c>
      <c r="F30" s="276">
        <v>3744.5811508927336</v>
      </c>
      <c r="G30" s="347">
        <v>47.1</v>
      </c>
      <c r="H30" s="276">
        <v>1721.8334288222561</v>
      </c>
    </row>
    <row r="31" spans="2:8" ht="24.95" customHeight="1" x14ac:dyDescent="0.25">
      <c r="B31" s="262" t="str">
        <f t="shared" si="0"/>
        <v>IV13_H15  PC BAN</v>
      </c>
      <c r="C31" s="273">
        <v>40.254863229527103</v>
      </c>
      <c r="D31" s="275">
        <v>5.458204633217993</v>
      </c>
      <c r="E31" s="276">
        <v>4203.7864397923868</v>
      </c>
      <c r="F31" s="276">
        <v>3935.2427718380613</v>
      </c>
      <c r="G31" s="347">
        <v>39.1</v>
      </c>
      <c r="H31" s="276">
        <v>2181.512848049379</v>
      </c>
    </row>
    <row r="33" spans="6:7" x14ac:dyDescent="0.25">
      <c r="F33" s="348"/>
      <c r="G33" s="284"/>
    </row>
    <row r="34" spans="6:7" x14ac:dyDescent="0.25">
      <c r="F34" s="348"/>
      <c r="G34" s="284"/>
    </row>
    <row r="35" spans="6:7" x14ac:dyDescent="0.25">
      <c r="F35" s="348"/>
      <c r="G35" s="284"/>
    </row>
    <row r="36" spans="6:7" x14ac:dyDescent="0.25">
      <c r="F36" s="348"/>
      <c r="G36" s="284"/>
    </row>
    <row r="37" spans="6:7" x14ac:dyDescent="0.25">
      <c r="F37" s="348"/>
      <c r="G37" s="284"/>
    </row>
    <row r="38" spans="6:7" x14ac:dyDescent="0.25">
      <c r="F38" s="348"/>
      <c r="G38" s="284"/>
    </row>
    <row r="39" spans="6:7" x14ac:dyDescent="0.25">
      <c r="F39" s="348"/>
      <c r="G39" s="284"/>
    </row>
    <row r="40" spans="6:7" x14ac:dyDescent="0.25">
      <c r="F40" s="348"/>
      <c r="G40" s="284"/>
    </row>
    <row r="41" spans="6:7" x14ac:dyDescent="0.25">
      <c r="F41" s="348"/>
      <c r="G41" s="284"/>
    </row>
    <row r="42" spans="6:7" x14ac:dyDescent="0.25">
      <c r="F42" s="348"/>
      <c r="G42" s="284"/>
    </row>
  </sheetData>
  <mergeCells count="9">
    <mergeCell ref="B20:H20"/>
    <mergeCell ref="B21:H21"/>
    <mergeCell ref="B22:H22"/>
    <mergeCell ref="B1:F1"/>
    <mergeCell ref="B2:F2"/>
    <mergeCell ref="B3:F3"/>
    <mergeCell ref="B14:F14"/>
    <mergeCell ref="B15:F15"/>
    <mergeCell ref="B16:F16"/>
  </mergeCells>
  <pageMargins left="0.78740157480314965" right="0.78740157480314965" top="0.98425196850393704" bottom="0.98425196850393704" header="0.51181102362204722" footer="0.51181102362204722"/>
  <pageSetup paperSize="9" scale="75" fitToHeight="0" orientation="portrait" r:id="rId1"/>
  <headerFooter alignWithMargins="0">
    <oddFooter xml:space="preserve">&amp;L&amp;"Rockwell,Gras"&amp;P/&amp;N&amp;C&amp;"Rockwell,Gras"&amp;D&amp;R&amp;"Rockwell,Gras"&amp;F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AG32"/>
  <sheetViews>
    <sheetView zoomScale="90" zoomScaleNormal="90" workbookViewId="0">
      <pane xSplit="1" topLeftCell="B1" activePane="topRight" state="frozen"/>
      <selection activeCell="J15" sqref="J15"/>
      <selection pane="topRight" activeCell="J15" sqref="J15"/>
    </sheetView>
  </sheetViews>
  <sheetFormatPr baseColWidth="10" defaultRowHeight="12.75" x14ac:dyDescent="0.25"/>
  <cols>
    <col min="1" max="1" width="28.7109375" style="318" bestFit="1" customWidth="1"/>
    <col min="2" max="16" width="11.42578125" style="318"/>
    <col min="17" max="17" width="23.5703125" style="318" bestFit="1" customWidth="1"/>
    <col min="18" max="18" width="22.28515625" style="318" bestFit="1" customWidth="1"/>
    <col min="19" max="16384" width="11.42578125" style="318"/>
  </cols>
  <sheetData>
    <row r="1" spans="1:33" ht="24" customHeight="1" x14ac:dyDescent="0.25">
      <c r="A1" s="586" t="s">
        <v>257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8"/>
      <c r="Q1" s="349"/>
      <c r="R1" s="572" t="s">
        <v>258</v>
      </c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</row>
    <row r="2" spans="1:33" ht="24" customHeight="1" x14ac:dyDescent="0.25">
      <c r="A2" s="589" t="s">
        <v>219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1"/>
      <c r="Q2" s="349"/>
      <c r="R2" s="573" t="str">
        <f>A2</f>
        <v>Campagne : Printemps 2015</v>
      </c>
      <c r="S2" s="573"/>
      <c r="T2" s="573"/>
      <c r="U2" s="573"/>
      <c r="V2" s="573"/>
      <c r="W2" s="573"/>
      <c r="X2" s="573"/>
      <c r="Y2" s="573"/>
      <c r="Z2" s="573"/>
      <c r="AA2" s="573"/>
      <c r="AB2" s="573"/>
      <c r="AC2" s="573"/>
      <c r="AD2" s="573"/>
      <c r="AE2" s="573"/>
    </row>
    <row r="3" spans="1:33" ht="24" customHeight="1" thickBot="1" x14ac:dyDescent="0.3">
      <c r="A3" s="598" t="s">
        <v>139</v>
      </c>
      <c r="B3" s="599"/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600"/>
      <c r="Q3" s="349"/>
      <c r="R3" s="574" t="s">
        <v>259</v>
      </c>
      <c r="S3" s="574"/>
      <c r="T3" s="574"/>
      <c r="U3" s="574"/>
      <c r="V3" s="574"/>
      <c r="W3" s="574"/>
      <c r="X3" s="574"/>
      <c r="Y3" s="574"/>
      <c r="Z3" s="574"/>
      <c r="AA3" s="574"/>
      <c r="AB3" s="574"/>
      <c r="AC3" s="574"/>
      <c r="AD3" s="574"/>
      <c r="AE3" s="574"/>
    </row>
    <row r="4" spans="1:33" ht="24" customHeight="1" thickBot="1" x14ac:dyDescent="0.3">
      <c r="A4" s="350" t="s">
        <v>140</v>
      </c>
      <c r="B4" s="351" t="s">
        <v>142</v>
      </c>
      <c r="C4" s="352" t="s">
        <v>260</v>
      </c>
      <c r="D4" s="351" t="s">
        <v>261</v>
      </c>
      <c r="E4" s="351" t="s">
        <v>262</v>
      </c>
      <c r="F4" s="351" t="s">
        <v>263</v>
      </c>
      <c r="G4" s="351" t="s">
        <v>264</v>
      </c>
      <c r="H4" s="351" t="s">
        <v>265</v>
      </c>
      <c r="I4" s="351" t="s">
        <v>266</v>
      </c>
      <c r="J4" s="351" t="s">
        <v>267</v>
      </c>
      <c r="K4" s="353" t="s">
        <v>268</v>
      </c>
      <c r="L4" s="354" t="s">
        <v>269</v>
      </c>
      <c r="M4" s="355" t="s">
        <v>270</v>
      </c>
      <c r="N4" s="356" t="s">
        <v>271</v>
      </c>
      <c r="O4" s="357" t="s">
        <v>272</v>
      </c>
      <c r="P4" s="357" t="s">
        <v>273</v>
      </c>
      <c r="Q4" s="358"/>
      <c r="R4" s="359" t="s">
        <v>274</v>
      </c>
      <c r="S4" s="360" t="s">
        <v>142</v>
      </c>
      <c r="T4" s="360" t="s">
        <v>275</v>
      </c>
      <c r="U4" s="360" t="s">
        <v>276</v>
      </c>
      <c r="V4" s="360" t="s">
        <v>277</v>
      </c>
      <c r="W4" s="360" t="s">
        <v>278</v>
      </c>
      <c r="X4" s="360" t="s">
        <v>279</v>
      </c>
      <c r="Y4" s="360" t="s">
        <v>280</v>
      </c>
      <c r="Z4" s="360" t="s">
        <v>281</v>
      </c>
      <c r="AA4" s="361" t="s">
        <v>282</v>
      </c>
      <c r="AB4" s="362" t="s">
        <v>268</v>
      </c>
      <c r="AC4" s="363" t="s">
        <v>269</v>
      </c>
      <c r="AD4" s="364" t="s">
        <v>270</v>
      </c>
      <c r="AE4" s="365" t="s">
        <v>283</v>
      </c>
      <c r="AF4" s="357" t="s">
        <v>284</v>
      </c>
      <c r="AG4" s="357" t="s">
        <v>273</v>
      </c>
    </row>
    <row r="5" spans="1:33" ht="24" customHeight="1" x14ac:dyDescent="0.25">
      <c r="A5" s="366" t="s">
        <v>189</v>
      </c>
      <c r="B5" s="367" t="s">
        <v>162</v>
      </c>
      <c r="C5" s="368">
        <v>48.1</v>
      </c>
      <c r="D5" s="368">
        <v>45.4</v>
      </c>
      <c r="E5" s="368">
        <v>30.8</v>
      </c>
      <c r="F5" s="368">
        <v>33.9</v>
      </c>
      <c r="G5" s="368">
        <v>37.5</v>
      </c>
      <c r="H5" s="368">
        <v>41.8</v>
      </c>
      <c r="I5" s="368">
        <v>40.1</v>
      </c>
      <c r="J5" s="368">
        <v>40.1</v>
      </c>
      <c r="K5" s="369">
        <v>39.712500000000006</v>
      </c>
      <c r="L5" s="370">
        <v>39.125</v>
      </c>
      <c r="M5" s="371">
        <v>40.299999999999997</v>
      </c>
      <c r="N5" s="372">
        <v>36.700000000000003</v>
      </c>
      <c r="O5" s="373">
        <f>N5+(20/100*N5)</f>
        <v>44.040000000000006</v>
      </c>
      <c r="P5" s="373">
        <f>N5-(N5*(20/100))</f>
        <v>29.360000000000003</v>
      </c>
      <c r="Q5" s="595" t="s">
        <v>285</v>
      </c>
      <c r="R5" s="374" t="s">
        <v>286</v>
      </c>
      <c r="S5" s="375" t="s">
        <v>162</v>
      </c>
      <c r="T5" s="376">
        <v>46.078377946943483</v>
      </c>
      <c r="U5" s="377">
        <v>41.856441753171865</v>
      </c>
      <c r="V5" s="377">
        <v>40.042948512110726</v>
      </c>
      <c r="W5" s="377">
        <v>40.06618408304498</v>
      </c>
      <c r="X5" s="377">
        <v>36.634855271049595</v>
      </c>
      <c r="Y5" s="377">
        <v>39.224646689734719</v>
      </c>
      <c r="Z5" s="377">
        <v>40.136245444059981</v>
      </c>
      <c r="AA5" s="378">
        <v>40.254863229527103</v>
      </c>
      <c r="AB5" s="379">
        <v>40.536820366205305</v>
      </c>
      <c r="AC5" s="380">
        <v>40.72310679354095</v>
      </c>
      <c r="AD5" s="381">
        <v>40.350533938869667</v>
      </c>
      <c r="AE5" s="382" t="str">
        <f>N7</f>
        <v>AB</v>
      </c>
      <c r="AF5" s="357"/>
      <c r="AG5" s="357"/>
    </row>
    <row r="6" spans="1:33" ht="24" customHeight="1" x14ac:dyDescent="0.25">
      <c r="A6" s="383" t="s">
        <v>287</v>
      </c>
      <c r="B6" s="384" t="s">
        <v>192</v>
      </c>
      <c r="C6" s="385">
        <v>5117.7763371150731</v>
      </c>
      <c r="D6" s="385">
        <v>4703.4836358439325</v>
      </c>
      <c r="E6" s="385">
        <v>4074.6063025210074</v>
      </c>
      <c r="F6" s="385">
        <v>4594.6900535019467</v>
      </c>
      <c r="G6" s="385">
        <v>4485.7401715968745</v>
      </c>
      <c r="H6" s="385">
        <v>4212.7823417030568</v>
      </c>
      <c r="I6" s="385">
        <v>4547.7075783626497</v>
      </c>
      <c r="J6" s="385">
        <v>4689.3311774023232</v>
      </c>
      <c r="K6" s="386">
        <v>4553.2646997558577</v>
      </c>
      <c r="L6" s="387">
        <v>4556.4575973989013</v>
      </c>
      <c r="M6" s="388">
        <v>4550.071802112815</v>
      </c>
      <c r="N6" s="389">
        <v>4108</v>
      </c>
      <c r="O6" s="390">
        <f>N6+300</f>
        <v>4408</v>
      </c>
      <c r="P6" s="390">
        <f>N6-300</f>
        <v>3808</v>
      </c>
      <c r="Q6" s="596"/>
      <c r="R6" s="391" t="s">
        <v>194</v>
      </c>
      <c r="S6" s="392" t="s">
        <v>162</v>
      </c>
      <c r="T6" s="393">
        <v>6.3859091903114189</v>
      </c>
      <c r="U6" s="394">
        <v>5.5527469723183396</v>
      </c>
      <c r="V6" s="394">
        <v>5.2167000761245674</v>
      </c>
      <c r="W6" s="394">
        <v>5.3370370934256055</v>
      </c>
      <c r="X6" s="394">
        <v>4.7701231799307955</v>
      </c>
      <c r="Y6" s="394">
        <v>5.079866525951557</v>
      </c>
      <c r="Z6" s="394">
        <v>5.3799161245674734</v>
      </c>
      <c r="AA6" s="395">
        <v>5.458204633217993</v>
      </c>
      <c r="AB6" s="396">
        <v>5.3975629744809686</v>
      </c>
      <c r="AC6" s="397">
        <v>5.4381621427335638</v>
      </c>
      <c r="AD6" s="398">
        <v>5.3569638062283742</v>
      </c>
      <c r="AE6" s="399">
        <f>N8</f>
        <v>5.2</v>
      </c>
      <c r="AF6" s="357">
        <f>(AE6+(20/100)*AE6)</f>
        <v>6.24</v>
      </c>
      <c r="AG6" s="400">
        <f>(AE6-(AE6*(20/100)))</f>
        <v>4.16</v>
      </c>
    </row>
    <row r="7" spans="1:33" ht="24" customHeight="1" x14ac:dyDescent="0.25">
      <c r="A7" s="401" t="s">
        <v>286</v>
      </c>
      <c r="B7" s="402" t="s">
        <v>162</v>
      </c>
      <c r="C7" s="368">
        <v>48.202563724767927</v>
      </c>
      <c r="D7" s="368">
        <v>44.613205659568379</v>
      </c>
      <c r="E7" s="368">
        <v>40.102184873949561</v>
      </c>
      <c r="F7" s="368">
        <v>44.20151994163426</v>
      </c>
      <c r="G7" s="368">
        <v>42.361083365347675</v>
      </c>
      <c r="H7" s="368">
        <v>40.270646834061132</v>
      </c>
      <c r="I7" s="368">
        <v>42.972463959793679</v>
      </c>
      <c r="J7" s="368">
        <v>44.60517423442451</v>
      </c>
      <c r="K7" s="369">
        <v>43.416105324193396</v>
      </c>
      <c r="L7" s="370">
        <v>43.409573980964709</v>
      </c>
      <c r="M7" s="371">
        <v>43.422636667422069</v>
      </c>
      <c r="N7" s="389" t="s">
        <v>288</v>
      </c>
      <c r="O7" s="373"/>
      <c r="P7" s="390"/>
      <c r="Q7" s="596"/>
      <c r="R7" s="391" t="s">
        <v>287</v>
      </c>
      <c r="S7" s="392" t="s">
        <v>192</v>
      </c>
      <c r="T7" s="403">
        <v>4788.4569425605541</v>
      </c>
      <c r="U7" s="404">
        <v>4341.9320501730108</v>
      </c>
      <c r="V7" s="404">
        <v>4197.7819370242214</v>
      </c>
      <c r="W7" s="404">
        <v>4291.2547681660899</v>
      </c>
      <c r="X7" s="404">
        <v>3718.9838238754323</v>
      </c>
      <c r="Y7" s="404">
        <v>3861.6191467128028</v>
      </c>
      <c r="Z7" s="404">
        <v>4009.2730242214534</v>
      </c>
      <c r="AA7" s="405">
        <v>4203.7864397923868</v>
      </c>
      <c r="AB7" s="406">
        <v>4176.6360165657434</v>
      </c>
      <c r="AC7" s="407">
        <v>4178.623931920416</v>
      </c>
      <c r="AD7" s="408">
        <v>4174.6481012110726</v>
      </c>
      <c r="AE7" s="409">
        <f>N6</f>
        <v>4108</v>
      </c>
      <c r="AF7" s="410">
        <f>AE7+300</f>
        <v>4408</v>
      </c>
      <c r="AG7" s="411">
        <f>AE7-300</f>
        <v>3808</v>
      </c>
    </row>
    <row r="8" spans="1:33" ht="24" customHeight="1" x14ac:dyDescent="0.25">
      <c r="A8" s="401" t="s">
        <v>194</v>
      </c>
      <c r="B8" s="402" t="s">
        <v>162</v>
      </c>
      <c r="C8" s="412">
        <v>6.5576116104317075</v>
      </c>
      <c r="D8" s="412">
        <v>6.0455909675575237</v>
      </c>
      <c r="E8" s="412">
        <v>5.3155644257703072</v>
      </c>
      <c r="F8" s="412">
        <v>5.9152383268482502</v>
      </c>
      <c r="G8" s="412">
        <v>5.7577743629145859</v>
      </c>
      <c r="H8" s="412">
        <v>5.4220960698689948</v>
      </c>
      <c r="I8" s="412">
        <v>5.8148207909006739</v>
      </c>
      <c r="J8" s="412">
        <v>5.9727151531151019</v>
      </c>
      <c r="K8" s="413">
        <v>5.8501764634258935</v>
      </c>
      <c r="L8" s="414">
        <v>5.8614427975043188</v>
      </c>
      <c r="M8" s="415">
        <v>5.8389101293474681</v>
      </c>
      <c r="N8" s="416">
        <v>5.2</v>
      </c>
      <c r="O8" s="373">
        <f t="shared" ref="O8" si="0">N8+(20/100*N8)</f>
        <v>6.24</v>
      </c>
      <c r="P8" s="373">
        <f>N8-(N8*(20/100))</f>
        <v>4.16</v>
      </c>
      <c r="Q8" s="596"/>
      <c r="R8" s="391" t="s">
        <v>195</v>
      </c>
      <c r="S8" s="392" t="s">
        <v>192</v>
      </c>
      <c r="T8" s="403">
        <v>4474.2702103972324</v>
      </c>
      <c r="U8" s="404">
        <v>4068.7368991349485</v>
      </c>
      <c r="V8" s="404">
        <v>3941.1202932788929</v>
      </c>
      <c r="W8" s="404">
        <v>4028.67254316955</v>
      </c>
      <c r="X8" s="404">
        <v>3484.2937634228374</v>
      </c>
      <c r="Y8" s="404">
        <v>3611.6897136359862</v>
      </c>
      <c r="Z8" s="404">
        <v>3744.5811508927336</v>
      </c>
      <c r="AA8" s="405">
        <v>3935.2427718380613</v>
      </c>
      <c r="AB8" s="406">
        <v>3911.0759182212801</v>
      </c>
      <c r="AC8" s="407">
        <v>3911.0663544979234</v>
      </c>
      <c r="AD8" s="408">
        <v>3911.0854819446367</v>
      </c>
      <c r="AE8" s="409">
        <f>N9</f>
        <v>3850</v>
      </c>
      <c r="AF8" s="410">
        <f>AE8+300</f>
        <v>4150</v>
      </c>
      <c r="AG8" s="411">
        <f>AE8-300</f>
        <v>3550</v>
      </c>
    </row>
    <row r="9" spans="1:33" ht="24" customHeight="1" x14ac:dyDescent="0.25">
      <c r="A9" s="401" t="s">
        <v>195</v>
      </c>
      <c r="B9" s="402" t="s">
        <v>192</v>
      </c>
      <c r="C9" s="385">
        <v>4795.4701635479587</v>
      </c>
      <c r="D9" s="385">
        <v>4406.3895955409453</v>
      </c>
      <c r="E9" s="385">
        <v>3813.392016806722</v>
      </c>
      <c r="F9" s="385">
        <v>4303.9738570038908</v>
      </c>
      <c r="G9" s="385">
        <v>4202.7776924061982</v>
      </c>
      <c r="H9" s="385">
        <v>3946.2906659388632</v>
      </c>
      <c r="I9" s="385">
        <v>4261.918529295066</v>
      </c>
      <c r="J9" s="385">
        <v>4395.7766631467794</v>
      </c>
      <c r="K9" s="386">
        <v>4265.7486479608033</v>
      </c>
      <c r="L9" s="387">
        <v>4268.3896005139868</v>
      </c>
      <c r="M9" s="388">
        <v>4263.1076954076198</v>
      </c>
      <c r="N9" s="389">
        <v>3850</v>
      </c>
      <c r="O9" s="390">
        <f t="shared" ref="O9:O12" si="1">N9+300</f>
        <v>4150</v>
      </c>
      <c r="P9" s="390">
        <f t="shared" ref="P9:P12" si="2">N9-300</f>
        <v>3550</v>
      </c>
      <c r="Q9" s="596"/>
      <c r="R9" s="391" t="s">
        <v>289</v>
      </c>
      <c r="S9" s="392" t="s">
        <v>162</v>
      </c>
      <c r="T9" s="417">
        <v>43.7</v>
      </c>
      <c r="U9" s="418">
        <v>41.8</v>
      </c>
      <c r="V9" s="418">
        <v>36.700000000000003</v>
      </c>
      <c r="W9" s="418">
        <v>33</v>
      </c>
      <c r="X9" s="418">
        <v>40</v>
      </c>
      <c r="Y9" s="418">
        <v>42.7</v>
      </c>
      <c r="Z9" s="418">
        <v>47.1</v>
      </c>
      <c r="AA9" s="419">
        <v>39.1</v>
      </c>
      <c r="AB9" s="420">
        <v>40.512500000000003</v>
      </c>
      <c r="AC9" s="421">
        <v>41.875</v>
      </c>
      <c r="AD9" s="422">
        <v>39.15</v>
      </c>
      <c r="AE9" s="423">
        <f>N5</f>
        <v>36.700000000000003</v>
      </c>
      <c r="AF9" s="373">
        <f>(AE9+(20/100)*AE9)</f>
        <v>44.040000000000006</v>
      </c>
      <c r="AG9" s="373">
        <f>(AE9-(AE9*(20/100)))</f>
        <v>29.360000000000003</v>
      </c>
    </row>
    <row r="10" spans="1:33" ht="24" customHeight="1" thickBot="1" x14ac:dyDescent="0.3">
      <c r="A10" s="383" t="s">
        <v>196</v>
      </c>
      <c r="B10" s="384" t="s">
        <v>192</v>
      </c>
      <c r="C10" s="385">
        <v>2224.2990148813906</v>
      </c>
      <c r="D10" s="385">
        <v>2156.1887191653564</v>
      </c>
      <c r="E10" s="385">
        <v>2469.4672756302521</v>
      </c>
      <c r="F10" s="385">
        <v>2658.4767194795713</v>
      </c>
      <c r="G10" s="385">
        <v>2420.4860577538739</v>
      </c>
      <c r="H10" s="385">
        <v>2066.8411675764182</v>
      </c>
      <c r="I10" s="385">
        <v>2332.3391990477444</v>
      </c>
      <c r="J10" s="385">
        <v>2412.5202212249205</v>
      </c>
      <c r="K10" s="386">
        <v>2342.577296844941</v>
      </c>
      <c r="L10" s="387">
        <v>2361.6478868283152</v>
      </c>
      <c r="M10" s="388">
        <v>2323.5067068615667</v>
      </c>
      <c r="N10" s="389">
        <v>2221</v>
      </c>
      <c r="O10" s="390">
        <f t="shared" si="1"/>
        <v>2521</v>
      </c>
      <c r="P10" s="390">
        <f t="shared" si="2"/>
        <v>1921</v>
      </c>
      <c r="Q10" s="597"/>
      <c r="R10" s="424" t="s">
        <v>196</v>
      </c>
      <c r="S10" s="425" t="s">
        <v>192</v>
      </c>
      <c r="T10" s="426">
        <v>2278.6641284536418</v>
      </c>
      <c r="U10" s="427">
        <v>2138.1048752965403</v>
      </c>
      <c r="V10" s="427">
        <v>2292.8791456455392</v>
      </c>
      <c r="W10" s="427">
        <v>2517.7106039235987</v>
      </c>
      <c r="X10" s="427">
        <v>1870.5762580537025</v>
      </c>
      <c r="Y10" s="427">
        <v>1834.64820591342</v>
      </c>
      <c r="Z10" s="427">
        <v>1721.8334288222561</v>
      </c>
      <c r="AA10" s="428">
        <v>2181.512848049379</v>
      </c>
      <c r="AB10" s="429">
        <v>2104.4911867697597</v>
      </c>
      <c r="AC10" s="430">
        <v>2040.9882402437847</v>
      </c>
      <c r="AD10" s="431">
        <v>2167.9941332957342</v>
      </c>
      <c r="AE10" s="432">
        <f>N10</f>
        <v>2221</v>
      </c>
      <c r="AF10" s="410">
        <f>AE10+300</f>
        <v>2521</v>
      </c>
      <c r="AG10" s="411">
        <f>AE10-300</f>
        <v>1921</v>
      </c>
    </row>
    <row r="11" spans="1:33" ht="24" customHeight="1" x14ac:dyDescent="0.25">
      <c r="A11" s="401" t="s">
        <v>197</v>
      </c>
      <c r="B11" s="402" t="s">
        <v>192</v>
      </c>
      <c r="C11" s="385">
        <v>4673.2767054663318</v>
      </c>
      <c r="D11" s="385">
        <v>4439.9342575389437</v>
      </c>
      <c r="E11" s="385">
        <v>3645.2298319327715</v>
      </c>
      <c r="F11" s="385">
        <v>4292.5638375486387</v>
      </c>
      <c r="G11" s="385">
        <v>3967.2719938532468</v>
      </c>
      <c r="H11" s="385">
        <v>3909.6546124454144</v>
      </c>
      <c r="I11" s="385">
        <v>4242.4289115196407</v>
      </c>
      <c r="J11" s="385">
        <v>4396.4040390707505</v>
      </c>
      <c r="K11" s="386">
        <v>4195.8455236719674</v>
      </c>
      <c r="L11" s="387">
        <v>4132.0518606929982</v>
      </c>
      <c r="M11" s="388">
        <v>4259.6391866509366</v>
      </c>
      <c r="N11" s="389">
        <v>3850</v>
      </c>
      <c r="O11" s="390">
        <f t="shared" si="1"/>
        <v>4150</v>
      </c>
      <c r="P11" s="390">
        <f t="shared" si="2"/>
        <v>3550</v>
      </c>
      <c r="Q11" s="595" t="s">
        <v>290</v>
      </c>
      <c r="R11" s="374" t="s">
        <v>289</v>
      </c>
      <c r="S11" s="433" t="s">
        <v>162</v>
      </c>
      <c r="T11" s="376">
        <v>48.1</v>
      </c>
      <c r="U11" s="377">
        <v>45.4</v>
      </c>
      <c r="V11" s="377">
        <v>30.8</v>
      </c>
      <c r="W11" s="377">
        <v>33.9</v>
      </c>
      <c r="X11" s="377">
        <v>37.5</v>
      </c>
      <c r="Y11" s="377">
        <v>41.8</v>
      </c>
      <c r="Z11" s="377">
        <v>40.1</v>
      </c>
      <c r="AA11" s="378">
        <v>40.1</v>
      </c>
      <c r="AB11" s="379">
        <v>39.712500000000006</v>
      </c>
      <c r="AC11" s="380">
        <v>39.125</v>
      </c>
      <c r="AD11" s="381">
        <v>40.299999999999997</v>
      </c>
      <c r="AE11" s="382">
        <f>N5</f>
        <v>36.700000000000003</v>
      </c>
      <c r="AF11" s="373">
        <f>(AE11+(20/100)*AE11)</f>
        <v>44.040000000000006</v>
      </c>
      <c r="AG11" s="373">
        <f>(AE11-(AE11*(20/100)))</f>
        <v>29.360000000000003</v>
      </c>
    </row>
    <row r="12" spans="1:33" ht="24" customHeight="1" x14ac:dyDescent="0.25">
      <c r="A12" s="383" t="s">
        <v>198</v>
      </c>
      <c r="B12" s="384" t="s">
        <v>192</v>
      </c>
      <c r="C12" s="385">
        <v>2160.880610137026</v>
      </c>
      <c r="D12" s="385">
        <v>2174.5041046162637</v>
      </c>
      <c r="E12" s="385">
        <v>2353.099043697478</v>
      </c>
      <c r="F12" s="385">
        <v>2650.9346966196499</v>
      </c>
      <c r="G12" s="385">
        <v>2273.2949961582794</v>
      </c>
      <c r="H12" s="385">
        <v>2045.5189844432311</v>
      </c>
      <c r="I12" s="385">
        <v>2320.6649180002646</v>
      </c>
      <c r="J12" s="385">
        <v>2412.8960194033798</v>
      </c>
      <c r="K12" s="386">
        <v>2298.9741716344465</v>
      </c>
      <c r="L12" s="387">
        <v>2276.9848919982619</v>
      </c>
      <c r="M12" s="388">
        <v>2320.9634512706316</v>
      </c>
      <c r="N12" s="389">
        <v>2221</v>
      </c>
      <c r="O12" s="390">
        <f t="shared" si="1"/>
        <v>2521</v>
      </c>
      <c r="P12" s="390">
        <f t="shared" si="2"/>
        <v>1921</v>
      </c>
      <c r="Q12" s="596"/>
      <c r="R12" s="434" t="s">
        <v>291</v>
      </c>
      <c r="S12" s="435" t="s">
        <v>192</v>
      </c>
      <c r="T12" s="403">
        <v>5117.7763371150731</v>
      </c>
      <c r="U12" s="404">
        <v>4703.4836358439325</v>
      </c>
      <c r="V12" s="404">
        <v>4074.6063025210074</v>
      </c>
      <c r="W12" s="404">
        <v>4594.6900535019467</v>
      </c>
      <c r="X12" s="404">
        <v>4485.7401715968745</v>
      </c>
      <c r="Y12" s="404">
        <v>4212.7823417030568</v>
      </c>
      <c r="Z12" s="404">
        <v>4547.7075783626497</v>
      </c>
      <c r="AA12" s="405">
        <v>4689.3311774023232</v>
      </c>
      <c r="AB12" s="406">
        <v>4553.2646997558577</v>
      </c>
      <c r="AC12" s="407">
        <v>4556.4575973989013</v>
      </c>
      <c r="AD12" s="408">
        <v>4550.071802112815</v>
      </c>
      <c r="AE12" s="409">
        <f>N6</f>
        <v>4108</v>
      </c>
      <c r="AF12" s="410">
        <f t="shared" ref="AF12:AF13" si="3">AE12+300</f>
        <v>4408</v>
      </c>
      <c r="AG12" s="411">
        <f t="shared" ref="AG12:AG13" si="4">AE12-300</f>
        <v>3808</v>
      </c>
    </row>
    <row r="13" spans="1:33" ht="24" customHeight="1" x14ac:dyDescent="0.25">
      <c r="A13" s="401" t="s">
        <v>292</v>
      </c>
      <c r="B13" s="402" t="s">
        <v>192</v>
      </c>
      <c r="C13" s="436">
        <v>122.19345808162689</v>
      </c>
      <c r="D13" s="436">
        <v>-33.544661997998446</v>
      </c>
      <c r="E13" s="436">
        <v>168.16218487395054</v>
      </c>
      <c r="F13" s="436">
        <v>11.410019455252041</v>
      </c>
      <c r="G13" s="436">
        <v>235.50569855295134</v>
      </c>
      <c r="H13" s="436">
        <v>36.636053493448799</v>
      </c>
      <c r="I13" s="436">
        <v>19.489617775425359</v>
      </c>
      <c r="J13" s="436">
        <v>-0.62737592397115804</v>
      </c>
      <c r="K13" s="437">
        <v>69.90312428883567</v>
      </c>
      <c r="L13" s="438">
        <v>136.33773982098853</v>
      </c>
      <c r="M13" s="439">
        <v>3.4685087566828088</v>
      </c>
      <c r="N13" s="440" t="s">
        <v>174</v>
      </c>
      <c r="O13" s="441"/>
      <c r="P13" s="441"/>
      <c r="Q13" s="596"/>
      <c r="R13" s="434" t="s">
        <v>293</v>
      </c>
      <c r="S13" s="435" t="s">
        <v>192</v>
      </c>
      <c r="T13" s="403">
        <v>2224.2990148813906</v>
      </c>
      <c r="U13" s="404">
        <v>2156.1887191653564</v>
      </c>
      <c r="V13" s="404">
        <v>2469.4672756302521</v>
      </c>
      <c r="W13" s="404">
        <v>2658.4767194795713</v>
      </c>
      <c r="X13" s="404">
        <v>2420.4860577538739</v>
      </c>
      <c r="Y13" s="404">
        <v>2066.8411675764182</v>
      </c>
      <c r="Z13" s="404">
        <v>2332.3391990477444</v>
      </c>
      <c r="AA13" s="405">
        <v>2412.5202212249205</v>
      </c>
      <c r="AB13" s="406">
        <v>2342.577296844941</v>
      </c>
      <c r="AC13" s="407">
        <v>2361.6478868283152</v>
      </c>
      <c r="AD13" s="408">
        <v>2323.5067068615667</v>
      </c>
      <c r="AE13" s="409">
        <f>N10</f>
        <v>2221</v>
      </c>
      <c r="AF13" s="410">
        <f t="shared" si="3"/>
        <v>2521</v>
      </c>
      <c r="AG13" s="411">
        <f t="shared" si="4"/>
        <v>1921</v>
      </c>
    </row>
    <row r="14" spans="1:33" ht="24" customHeight="1" thickBot="1" x14ac:dyDescent="0.3">
      <c r="A14" s="442" t="s">
        <v>294</v>
      </c>
      <c r="B14" s="443" t="s">
        <v>192</v>
      </c>
      <c r="C14" s="444">
        <v>63.41840474436458</v>
      </c>
      <c r="D14" s="444">
        <v>-18.315385450907343</v>
      </c>
      <c r="E14" s="444">
        <v>116.36823193277405</v>
      </c>
      <c r="F14" s="444">
        <v>7.542022859921417</v>
      </c>
      <c r="G14" s="444">
        <v>147.19106159559442</v>
      </c>
      <c r="H14" s="444">
        <v>21.322183133187082</v>
      </c>
      <c r="I14" s="444">
        <v>11.674281047479781</v>
      </c>
      <c r="J14" s="444">
        <v>-0.375798178459263</v>
      </c>
      <c r="K14" s="445">
        <v>43.603125210494341</v>
      </c>
      <c r="L14" s="446">
        <v>84.662994830053208</v>
      </c>
      <c r="M14" s="447">
        <v>2.5432555909354733</v>
      </c>
      <c r="N14" s="448" t="s">
        <v>174</v>
      </c>
      <c r="Q14" s="597"/>
      <c r="R14" s="424" t="s">
        <v>295</v>
      </c>
      <c r="S14" s="449" t="s">
        <v>192</v>
      </c>
      <c r="T14" s="426">
        <v>2160.880610137026</v>
      </c>
      <c r="U14" s="427">
        <v>2174.5041046162637</v>
      </c>
      <c r="V14" s="427">
        <v>2353.099043697478</v>
      </c>
      <c r="W14" s="427">
        <v>2650.9346966196499</v>
      </c>
      <c r="X14" s="427">
        <v>2273.2949961582794</v>
      </c>
      <c r="Y14" s="427">
        <v>2045.5189844432311</v>
      </c>
      <c r="Z14" s="427">
        <v>2320.6649180002646</v>
      </c>
      <c r="AA14" s="428">
        <v>2412.8960194033798</v>
      </c>
      <c r="AB14" s="429">
        <v>2298.9741716344465</v>
      </c>
      <c r="AC14" s="430">
        <v>2276.9848919982619</v>
      </c>
      <c r="AD14" s="431">
        <v>2320.9634512706316</v>
      </c>
      <c r="AE14" s="432">
        <f>N10</f>
        <v>2221</v>
      </c>
      <c r="AF14" s="410">
        <f>AE14+300</f>
        <v>2521</v>
      </c>
      <c r="AG14" s="411">
        <f>AE14-300</f>
        <v>1921</v>
      </c>
    </row>
    <row r="15" spans="1:33" ht="24" x14ac:dyDescent="0.25">
      <c r="Q15" s="595" t="s">
        <v>296</v>
      </c>
      <c r="R15" s="374" t="s">
        <v>297</v>
      </c>
      <c r="S15" s="450" t="s">
        <v>162</v>
      </c>
      <c r="T15" s="451">
        <v>-9.147609147609144E-2</v>
      </c>
      <c r="U15" s="452">
        <v>-7.929515418502206E-2</v>
      </c>
      <c r="V15" s="452">
        <v>0.19155844155844162</v>
      </c>
      <c r="W15" s="452">
        <v>-2.6548672566371639E-2</v>
      </c>
      <c r="X15" s="452">
        <v>6.6666666666666666E-2</v>
      </c>
      <c r="Y15" s="452">
        <v>2.1531100478469036E-2</v>
      </c>
      <c r="Z15" s="452">
        <v>0.17456359102244387</v>
      </c>
      <c r="AA15" s="453">
        <v>-2.4937655860349125E-2</v>
      </c>
      <c r="AB15" s="454">
        <v>2.0144790683034236E-2</v>
      </c>
      <c r="AC15" s="455">
        <v>7.0287539936102233E-2</v>
      </c>
      <c r="AD15" s="456">
        <v>-2.8535980148883342E-2</v>
      </c>
      <c r="AE15" s="457" t="s">
        <v>174</v>
      </c>
    </row>
    <row r="16" spans="1:33" ht="24" customHeight="1" x14ac:dyDescent="0.25">
      <c r="A16" s="357" t="s">
        <v>298</v>
      </c>
      <c r="B16" s="357">
        <v>4108</v>
      </c>
      <c r="C16" s="357">
        <v>4108</v>
      </c>
      <c r="D16" s="357">
        <v>4108</v>
      </c>
      <c r="E16" s="357">
        <v>4108</v>
      </c>
      <c r="F16" s="357">
        <v>4108</v>
      </c>
      <c r="G16" s="357">
        <v>4108</v>
      </c>
      <c r="H16" s="357">
        <v>4108</v>
      </c>
      <c r="I16" s="357">
        <v>4108</v>
      </c>
      <c r="J16" s="357">
        <v>4108</v>
      </c>
      <c r="K16" s="357">
        <v>4108</v>
      </c>
      <c r="L16" s="357">
        <v>4108</v>
      </c>
      <c r="M16" s="357">
        <v>4108</v>
      </c>
      <c r="N16" s="357">
        <v>4108</v>
      </c>
      <c r="Q16" s="596"/>
      <c r="R16" s="391" t="s">
        <v>299</v>
      </c>
      <c r="S16" s="458" t="s">
        <v>162</v>
      </c>
      <c r="T16" s="459">
        <v>-6.4348141235917838E-2</v>
      </c>
      <c r="U16" s="460">
        <v>-7.6868894135325189E-2</v>
      </c>
      <c r="V16" s="460">
        <v>3.0230070185432101E-2</v>
      </c>
      <c r="W16" s="460">
        <v>-6.6040425317609147E-2</v>
      </c>
      <c r="X16" s="460">
        <v>-0.17093195735598865</v>
      </c>
      <c r="Y16" s="460">
        <v>-8.3356595833121758E-2</v>
      </c>
      <c r="Z16" s="460">
        <v>-0.11839691643829339</v>
      </c>
      <c r="AA16" s="461">
        <v>-0.10354242838504449</v>
      </c>
      <c r="AB16" s="462">
        <v>-8.2716184545631372E-2</v>
      </c>
      <c r="AC16" s="463">
        <v>-8.2922677848286205E-2</v>
      </c>
      <c r="AD16" s="464">
        <v>-8.2509401440086144E-2</v>
      </c>
      <c r="AE16" s="465" t="s">
        <v>174</v>
      </c>
    </row>
    <row r="17" spans="1:31" ht="24" customHeight="1" thickBot="1" x14ac:dyDescent="0.3">
      <c r="A17" s="357" t="s">
        <v>300</v>
      </c>
      <c r="B17" s="357">
        <v>2221</v>
      </c>
      <c r="C17" s="357">
        <v>2221</v>
      </c>
      <c r="D17" s="357">
        <v>2221</v>
      </c>
      <c r="E17" s="357">
        <v>2221</v>
      </c>
      <c r="F17" s="357">
        <v>2221</v>
      </c>
      <c r="G17" s="357">
        <v>2221</v>
      </c>
      <c r="H17" s="357">
        <v>2221</v>
      </c>
      <c r="I17" s="357">
        <v>2221</v>
      </c>
      <c r="J17" s="357">
        <v>2221</v>
      </c>
      <c r="K17" s="357">
        <v>2221</v>
      </c>
      <c r="L17" s="357">
        <v>2221</v>
      </c>
      <c r="M17" s="357">
        <v>2221</v>
      </c>
      <c r="N17" s="357">
        <v>2221</v>
      </c>
      <c r="Q17" s="597"/>
      <c r="R17" s="466" t="s">
        <v>301</v>
      </c>
      <c r="S17" s="467" t="s">
        <v>162</v>
      </c>
      <c r="T17" s="468">
        <v>2.4441459178162771E-2</v>
      </c>
      <c r="U17" s="469">
        <v>-8.3869485579240888E-3</v>
      </c>
      <c r="V17" s="469">
        <v>-7.1508592856183689E-2</v>
      </c>
      <c r="W17" s="469">
        <v>-5.2949914710379443E-2</v>
      </c>
      <c r="X17" s="469">
        <v>-0.22718982327477991</v>
      </c>
      <c r="Y17" s="469">
        <v>-0.11234194736660295</v>
      </c>
      <c r="Z17" s="469">
        <v>-0.26175685358062312</v>
      </c>
      <c r="AA17" s="470">
        <v>-9.5753548983001271E-2</v>
      </c>
      <c r="AB17" s="471">
        <v>-0.10163426000748978</v>
      </c>
      <c r="AC17" s="472">
        <v>-0.13577792370020716</v>
      </c>
      <c r="AD17" s="473">
        <v>-6.6930116064045392E-2</v>
      </c>
      <c r="AE17" s="474" t="s">
        <v>174</v>
      </c>
    </row>
    <row r="18" spans="1:31" ht="24" customHeight="1" x14ac:dyDescent="0.25">
      <c r="T18" s="475"/>
      <c r="U18" s="475"/>
      <c r="V18" s="475"/>
      <c r="W18" s="475"/>
      <c r="X18" s="475"/>
      <c r="Y18" s="475"/>
      <c r="Z18" s="475"/>
      <c r="AA18" s="475"/>
      <c r="AB18" s="475"/>
    </row>
    <row r="19" spans="1:31" ht="24" customHeight="1" x14ac:dyDescent="0.25">
      <c r="T19" s="475"/>
      <c r="U19" s="475"/>
      <c r="V19" s="475"/>
      <c r="W19" s="475"/>
      <c r="X19" s="475"/>
      <c r="Y19" s="475"/>
      <c r="Z19" s="475"/>
      <c r="AA19" s="475"/>
      <c r="AB19" s="475"/>
    </row>
    <row r="20" spans="1:31" ht="24" customHeight="1" x14ac:dyDescent="0.25"/>
    <row r="21" spans="1:31" ht="24" customHeight="1" x14ac:dyDescent="0.25"/>
    <row r="22" spans="1:31" ht="24" customHeight="1" x14ac:dyDescent="0.25"/>
    <row r="23" spans="1:31" ht="24" customHeight="1" x14ac:dyDescent="0.25"/>
    <row r="24" spans="1:31" ht="24" customHeight="1" x14ac:dyDescent="0.25"/>
    <row r="25" spans="1:31" ht="24" customHeight="1" x14ac:dyDescent="0.25"/>
    <row r="26" spans="1:31" ht="24" customHeight="1" x14ac:dyDescent="0.25"/>
    <row r="27" spans="1:31" ht="24" customHeight="1" x14ac:dyDescent="0.25"/>
    <row r="28" spans="1:31" ht="24" customHeight="1" x14ac:dyDescent="0.25"/>
    <row r="29" spans="1:31" ht="24" customHeight="1" x14ac:dyDescent="0.25"/>
    <row r="30" spans="1:31" ht="24" customHeight="1" x14ac:dyDescent="0.25"/>
    <row r="31" spans="1:31" ht="24" customHeight="1" x14ac:dyDescent="0.25"/>
    <row r="32" spans="1:31" ht="24" customHeight="1" x14ac:dyDescent="0.25"/>
  </sheetData>
  <mergeCells count="9">
    <mergeCell ref="Q5:Q10"/>
    <mergeCell ref="Q11:Q14"/>
    <mergeCell ref="Q15:Q17"/>
    <mergeCell ref="A1:N1"/>
    <mergeCell ref="R1:AE1"/>
    <mergeCell ref="A2:N2"/>
    <mergeCell ref="R2:AE2"/>
    <mergeCell ref="A3:N3"/>
    <mergeCell ref="R3:AE3"/>
  </mergeCells>
  <conditionalFormatting sqref="T15:AA17">
    <cfRule type="cellIs" dxfId="39" priority="39" operator="lessThan">
      <formula>-0.1</formula>
    </cfRule>
    <cfRule type="cellIs" dxfId="38" priority="40" operator="greaterThan">
      <formula>0.1</formula>
    </cfRule>
  </conditionalFormatting>
  <conditionalFormatting sqref="C6:J6">
    <cfRule type="cellIs" dxfId="37" priority="37" operator="lessThan">
      <formula>$P6</formula>
    </cfRule>
    <cfRule type="cellIs" dxfId="36" priority="38" operator="greaterThan">
      <formula>$O6</formula>
    </cfRule>
  </conditionalFormatting>
  <conditionalFormatting sqref="K6:M6">
    <cfRule type="cellIs" dxfId="35" priority="33" operator="lessThan">
      <formula>$P6</formula>
    </cfRule>
    <cfRule type="cellIs" dxfId="34" priority="34" operator="greaterThan">
      <formula>$O6</formula>
    </cfRule>
    <cfRule type="cellIs" dxfId="33" priority="35" operator="lessThan">
      <formula>$P6</formula>
    </cfRule>
    <cfRule type="cellIs" dxfId="32" priority="36" operator="greaterThan">
      <formula>$O6</formula>
    </cfRule>
  </conditionalFormatting>
  <conditionalFormatting sqref="K9:M12">
    <cfRule type="cellIs" dxfId="31" priority="29" operator="lessThan">
      <formula>$P9</formula>
    </cfRule>
    <cfRule type="cellIs" dxfId="30" priority="30" operator="greaterThan">
      <formula>$O9</formula>
    </cfRule>
    <cfRule type="cellIs" dxfId="29" priority="31" operator="lessThan">
      <formula>$P9</formula>
    </cfRule>
    <cfRule type="cellIs" dxfId="28" priority="32" operator="greaterThan">
      <formula>$O9</formula>
    </cfRule>
  </conditionalFormatting>
  <conditionalFormatting sqref="C9:J12">
    <cfRule type="cellIs" dxfId="27" priority="27" operator="lessThan">
      <formula>$P9</formula>
    </cfRule>
    <cfRule type="cellIs" dxfId="26" priority="28" operator="greaterThan">
      <formula>$O9</formula>
    </cfRule>
  </conditionalFormatting>
  <conditionalFormatting sqref="C5:J5">
    <cfRule type="cellIs" dxfId="25" priority="25" operator="lessThan">
      <formula>$P5</formula>
    </cfRule>
    <cfRule type="cellIs" dxfId="24" priority="26" operator="greaterThan">
      <formula>$O5</formula>
    </cfRule>
  </conditionalFormatting>
  <conditionalFormatting sqref="C8:J8">
    <cfRule type="cellIs" dxfId="23" priority="23" operator="lessThan">
      <formula>$P8</formula>
    </cfRule>
    <cfRule type="cellIs" dxfId="22" priority="24" operator="greaterThan">
      <formula>$O8</formula>
    </cfRule>
  </conditionalFormatting>
  <conditionalFormatting sqref="K5:M5">
    <cfRule type="cellIs" dxfId="21" priority="19" operator="lessThan">
      <formula>$P5</formula>
    </cfRule>
    <cfRule type="cellIs" dxfId="20" priority="20" operator="greaterThan">
      <formula>$O5</formula>
    </cfRule>
    <cfRule type="cellIs" dxfId="19" priority="21" operator="lessThan">
      <formula>$P5</formula>
    </cfRule>
    <cfRule type="cellIs" dxfId="18" priority="22" operator="greaterThan">
      <formula>$O5</formula>
    </cfRule>
  </conditionalFormatting>
  <conditionalFormatting sqref="K8:M8">
    <cfRule type="cellIs" dxfId="17" priority="15" operator="lessThan">
      <formula>$P8</formula>
    </cfRule>
    <cfRule type="cellIs" dxfId="16" priority="16" operator="greaterThan">
      <formula>$O8</formula>
    </cfRule>
    <cfRule type="cellIs" dxfId="15" priority="17" operator="lessThan">
      <formula>$P8</formula>
    </cfRule>
    <cfRule type="cellIs" dxfId="14" priority="18" operator="greaterThan">
      <formula>$O8</formula>
    </cfRule>
  </conditionalFormatting>
  <conditionalFormatting sqref="T6:AA6">
    <cfRule type="cellIs" dxfId="13" priority="13" operator="greaterThan">
      <formula>$AF6</formula>
    </cfRule>
    <cfRule type="cellIs" dxfId="12" priority="14" operator="lessThan">
      <formula>$AG6</formula>
    </cfRule>
  </conditionalFormatting>
  <conditionalFormatting sqref="T7:AA14">
    <cfRule type="cellIs" dxfId="11" priority="11" operator="greaterThan">
      <formula>$AF7</formula>
    </cfRule>
    <cfRule type="cellIs" dxfId="10" priority="12" operator="lessThan">
      <formula>$AG7</formula>
    </cfRule>
  </conditionalFormatting>
  <conditionalFormatting sqref="AB6:AD6">
    <cfRule type="cellIs" dxfId="9" priority="9" operator="greaterThan">
      <formula>$AF6</formula>
    </cfRule>
    <cfRule type="cellIs" dxfId="8" priority="10" operator="lessThan">
      <formula>$AG6</formula>
    </cfRule>
  </conditionalFormatting>
  <conditionalFormatting sqref="AB9:AD9">
    <cfRule type="cellIs" dxfId="7" priority="7" operator="greaterThan">
      <formula>$AF9</formula>
    </cfRule>
    <cfRule type="cellIs" dxfId="6" priority="8" operator="lessThan">
      <formula>$AG9</formula>
    </cfRule>
  </conditionalFormatting>
  <conditionalFormatting sqref="AB11:AD14">
    <cfRule type="cellIs" dxfId="5" priority="5" operator="greaterThan">
      <formula>$AF11</formula>
    </cfRule>
    <cfRule type="cellIs" dxfId="4" priority="6" operator="lessThan">
      <formula>$AG11</formula>
    </cfRule>
  </conditionalFormatting>
  <conditionalFormatting sqref="AB10:AD10">
    <cfRule type="cellIs" dxfId="3" priority="3" operator="greaterThan">
      <formula>$AF10</formula>
    </cfRule>
    <cfRule type="cellIs" dxfId="2" priority="4" operator="lessThan">
      <formula>$AG10</formula>
    </cfRule>
  </conditionalFormatting>
  <conditionalFormatting sqref="AB7:AD8">
    <cfRule type="cellIs" dxfId="1" priority="1" operator="greaterThan">
      <formula>$AF7</formula>
    </cfRule>
    <cfRule type="cellIs" dxfId="0" priority="2" operator="lessThan">
      <formula>$AG7</formula>
    </cfRule>
  </conditionalFormatting>
  <pageMargins left="0.7" right="0.7" top="0.75" bottom="0.75" header="0.3" footer="0.3"/>
  <pageSetup paperSize="9" orientation="portrait" verticalDpi="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G34" sqref="G34"/>
    </sheetView>
  </sheetViews>
  <sheetFormatPr baseColWidth="10" defaultRowHeight="15" x14ac:dyDescent="0.25"/>
  <sheetData>
    <row r="1" spans="1:10" s="1" customFormat="1" ht="12.75" x14ac:dyDescent="0.2"/>
    <row r="2" spans="1:10" s="1" customFormat="1" ht="15.75" x14ac:dyDescent="0.25">
      <c r="A2" s="1" t="s">
        <v>0</v>
      </c>
      <c r="B2" s="476" t="str">
        <f>'[3]F 1 _ Echant et Séchage'!D5</f>
        <v>IVR P15 PB BAN</v>
      </c>
      <c r="C2" s="476"/>
      <c r="D2" s="476"/>
      <c r="E2" s="476"/>
      <c r="F2" s="476"/>
      <c r="G2" s="2"/>
      <c r="H2" s="2"/>
      <c r="I2" s="2"/>
      <c r="J2" s="2"/>
    </row>
    <row r="3" spans="1:10" s="1" customFormat="1" ht="12.75" x14ac:dyDescent="0.2">
      <c r="A3" s="1" t="s">
        <v>1</v>
      </c>
      <c r="B3" s="483" t="str">
        <f>'[3]F 1 _ Echant et Séchage'!D6</f>
        <v>cachan 4239TJ94</v>
      </c>
      <c r="C3" s="483"/>
      <c r="D3" s="483"/>
      <c r="E3" s="483"/>
      <c r="F3" s="483"/>
      <c r="G3" s="3"/>
      <c r="H3" s="3"/>
      <c r="I3" s="3"/>
      <c r="J3" s="3"/>
    </row>
    <row r="4" spans="1:10" s="1" customFormat="1" ht="12.75" x14ac:dyDescent="0.2">
      <c r="A4" s="1" t="s">
        <v>2</v>
      </c>
      <c r="B4" s="243"/>
      <c r="C4" s="243" t="str">
        <f>'[3]F 1 _ Echant et Séchage'!D8</f>
        <v>Ivry</v>
      </c>
      <c r="D4" s="243"/>
      <c r="E4" s="243"/>
      <c r="F4" s="243"/>
      <c r="G4" s="3"/>
      <c r="H4" s="3"/>
      <c r="I4" s="3"/>
      <c r="J4" s="3"/>
    </row>
    <row r="5" spans="1:10" s="1" customFormat="1" ht="12.75" x14ac:dyDescent="0.2">
      <c r="A5" s="1" t="s">
        <v>3</v>
      </c>
      <c r="B5" s="243"/>
      <c r="C5" s="243" t="str">
        <f>'[3]F 1 _ Echant et Séchage'!E15</f>
        <v>ensoleillé</v>
      </c>
      <c r="D5" s="243"/>
      <c r="E5" s="243"/>
      <c r="F5" s="243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478" t="s">
        <v>4</v>
      </c>
      <c r="B7" s="478"/>
      <c r="C7" s="478"/>
      <c r="D7" s="478"/>
      <c r="E7" s="478"/>
      <c r="F7" s="478"/>
      <c r="G7" s="478"/>
      <c r="H7" s="478"/>
      <c r="I7" s="478"/>
      <c r="J7" s="478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'[3]F 1 _ Echant et Séchage'!B12</f>
        <v>42145</v>
      </c>
      <c r="D9" s="477" t="s">
        <v>6</v>
      </c>
      <c r="E9" s="477"/>
      <c r="F9" s="477"/>
      <c r="G9" s="6">
        <f>'[3]F 1 _ Echant et Séchage'!G19</f>
        <v>126.64000000000001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>
        <f>'[3]F 1 _ Echant et Séchage'!E12</f>
        <v>0.39930555555555558</v>
      </c>
      <c r="D10" s="477" t="s">
        <v>9</v>
      </c>
      <c r="E10" s="477"/>
      <c r="F10" s="477"/>
      <c r="G10" s="243">
        <f>'[3]F 1 _ Echant et Séchage'!H26</f>
        <v>0.45</v>
      </c>
      <c r="H10" s="243"/>
      <c r="I10" s="9"/>
      <c r="J10" s="1" t="s">
        <v>10</v>
      </c>
    </row>
    <row r="11" spans="1:10" s="1" customFormat="1" ht="12.75" x14ac:dyDescent="0.2">
      <c r="B11" s="477"/>
      <c r="C11" s="477"/>
      <c r="D11" s="477" t="s">
        <v>11</v>
      </c>
      <c r="E11" s="477"/>
      <c r="F11" s="477"/>
      <c r="G11" s="10">
        <f>G9/1000/G10</f>
        <v>0.28142222222222224</v>
      </c>
      <c r="H11" s="10"/>
      <c r="I11" s="3"/>
      <c r="J11" s="3" t="s">
        <v>12</v>
      </c>
    </row>
    <row r="12" spans="1:10" s="1" customFormat="1" ht="12.75" x14ac:dyDescent="0.2">
      <c r="B12" s="7"/>
      <c r="D12" s="477" t="s">
        <v>13</v>
      </c>
      <c r="E12" s="477"/>
      <c r="F12" s="477"/>
      <c r="G12" s="237">
        <f>'[3]F 1 _ Echant et Séchage'!D51</f>
        <v>0.40097915350600133</v>
      </c>
      <c r="H12" s="11"/>
      <c r="I12" s="11"/>
    </row>
    <row r="13" spans="1:10" s="1" customFormat="1" ht="12.75" x14ac:dyDescent="0.2">
      <c r="B13" s="12"/>
      <c r="G13" s="234"/>
      <c r="H13" s="234"/>
      <c r="I13" s="234"/>
    </row>
    <row r="14" spans="1:10" s="1" customFormat="1" ht="18.75" customHeight="1" x14ac:dyDescent="0.2">
      <c r="A14" s="478" t="s">
        <v>14</v>
      </c>
      <c r="B14" s="478"/>
      <c r="C14" s="478"/>
      <c r="D14" s="478"/>
      <c r="E14" s="478"/>
      <c r="F14" s="478"/>
      <c r="G14" s="478"/>
      <c r="H14" s="478"/>
      <c r="I14" s="478"/>
      <c r="J14" s="478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479" t="s">
        <v>16</v>
      </c>
      <c r="H16" s="481" t="s">
        <v>17</v>
      </c>
      <c r="I16" s="479" t="s">
        <v>18</v>
      </c>
      <c r="J16" s="481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0"/>
      <c r="H17" s="482"/>
      <c r="I17" s="480"/>
      <c r="J17" s="482"/>
    </row>
    <row r="18" spans="1:10" s="1" customFormat="1" ht="15" customHeight="1" x14ac:dyDescent="0.2">
      <c r="A18" s="489" t="s">
        <v>26</v>
      </c>
      <c r="B18" s="18" t="s">
        <v>119</v>
      </c>
      <c r="C18" s="19">
        <f>'[3]F 4 TRI _ Granulo'!K5</f>
        <v>1.3506963636363649</v>
      </c>
      <c r="D18" s="20">
        <f>'[3]F 4 TRI _ Granulo'!H5</f>
        <v>0.1100000000000001</v>
      </c>
      <c r="E18" s="20">
        <f>'[3]F 4 TRI _ Granulo'!E5</f>
        <v>0</v>
      </c>
      <c r="F18" s="20">
        <f>SUM(C18:E18)</f>
        <v>1.460696363636365</v>
      </c>
      <c r="G18" s="21">
        <f t="shared" ref="G18:G64" si="0">F18/$F$64</f>
        <v>1.9288049441641898E-2</v>
      </c>
      <c r="H18" s="21">
        <f>G18*J18/I18</f>
        <v>4.1411459905824143E-2</v>
      </c>
      <c r="I18" s="484">
        <f>G18+G19+G20+G21+G22</f>
        <v>9.8764537558509113E-2</v>
      </c>
      <c r="J18" s="484">
        <f>'[3]Calcul sous cat &gt;20'!N8/100</f>
        <v>0.21204755305071959</v>
      </c>
    </row>
    <row r="19" spans="1:10" s="1" customFormat="1" ht="15" customHeight="1" x14ac:dyDescent="0.2">
      <c r="A19" s="490"/>
      <c r="B19" s="18" t="s">
        <v>27</v>
      </c>
      <c r="C19" s="19">
        <f>'[3]F 4 TRI _ Granulo'!K6</f>
        <v>4.5288054545454575</v>
      </c>
      <c r="D19" s="20">
        <f>'[3]F 4 TRI _ Granulo'!H6</f>
        <v>1.4900000000000002</v>
      </c>
      <c r="E19" s="20">
        <f>'[3]F 4 TRI _ Granulo'!E6</f>
        <v>0</v>
      </c>
      <c r="F19" s="20">
        <f>SUM(C19:E19)</f>
        <v>6.0188054545454577</v>
      </c>
      <c r="G19" s="21">
        <f t="shared" si="0"/>
        <v>7.9476488116867222E-2</v>
      </c>
      <c r="H19" s="21">
        <f>G19*J18/I18</f>
        <v>0.17063609314489547</v>
      </c>
      <c r="I19" s="484"/>
      <c r="J19" s="484"/>
    </row>
    <row r="20" spans="1:10" s="1" customFormat="1" ht="15" customHeight="1" x14ac:dyDescent="0.2">
      <c r="A20" s="490"/>
      <c r="B20" s="18" t="s">
        <v>28</v>
      </c>
      <c r="C20" s="19">
        <f>'[3]F 4 TRI _ Granulo'!K7</f>
        <v>0</v>
      </c>
      <c r="D20" s="20">
        <f>'[3]F 4 TRI _ Granulo'!H7</f>
        <v>0</v>
      </c>
      <c r="E20" s="20">
        <f>'[3]F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484"/>
      <c r="J20" s="484"/>
    </row>
    <row r="21" spans="1:10" s="1" customFormat="1" ht="15" customHeight="1" x14ac:dyDescent="0.2">
      <c r="A21" s="490"/>
      <c r="B21" s="18" t="s">
        <v>29</v>
      </c>
      <c r="C21" s="19">
        <f>'[3]F 4 TRI _ Granulo'!K8</f>
        <v>0</v>
      </c>
      <c r="D21" s="20">
        <f>'[3]F 4 TRI _ Granulo'!H8</f>
        <v>0</v>
      </c>
      <c r="E21" s="20">
        <f>'[3]F 4 TRI _ Granulo'!E8</f>
        <v>0</v>
      </c>
      <c r="F21" s="20">
        <f t="shared" si="1"/>
        <v>0</v>
      </c>
      <c r="G21" s="21">
        <f t="shared" si="0"/>
        <v>0</v>
      </c>
      <c r="H21" s="21">
        <f>G21*J18/I18</f>
        <v>0</v>
      </c>
      <c r="I21" s="484"/>
      <c r="J21" s="484"/>
    </row>
    <row r="22" spans="1:10" s="1" customFormat="1" ht="15" customHeight="1" x14ac:dyDescent="0.2">
      <c r="A22" s="491"/>
      <c r="B22" s="18" t="s">
        <v>30</v>
      </c>
      <c r="C22" s="19">
        <f>'[3]F 4 TRI _ Granulo'!K9</f>
        <v>0</v>
      </c>
      <c r="D22" s="20">
        <f>'[3]F 4 TRI _ Granulo'!H9</f>
        <v>0</v>
      </c>
      <c r="E22" s="20">
        <f>'[3]F 4 TRI _ Granulo'!E9</f>
        <v>0</v>
      </c>
      <c r="F22" s="20">
        <f t="shared" si="1"/>
        <v>0</v>
      </c>
      <c r="G22" s="21">
        <f t="shared" si="0"/>
        <v>0</v>
      </c>
      <c r="H22" s="21">
        <f>G22*J18/I18</f>
        <v>0</v>
      </c>
      <c r="I22" s="484"/>
      <c r="J22" s="484"/>
    </row>
    <row r="23" spans="1:10" s="1" customFormat="1" ht="15" customHeight="1" x14ac:dyDescent="0.2">
      <c r="A23" s="485" t="s">
        <v>31</v>
      </c>
      <c r="B23" s="18" t="s">
        <v>32</v>
      </c>
      <c r="C23" s="19">
        <f>'[3]F 4 TRI _ Granulo'!K10</f>
        <v>0.5561690909090915</v>
      </c>
      <c r="D23" s="20">
        <f>'[3]F 4 TRI _ Granulo'!H10</f>
        <v>0.41000000000000014</v>
      </c>
      <c r="E23" s="20">
        <f>'[3]F 4 TRI _ Granulo'!E10</f>
        <v>0</v>
      </c>
      <c r="F23" s="20">
        <f t="shared" si="1"/>
        <v>0.96616909090909164</v>
      </c>
      <c r="G23" s="21">
        <f t="shared" si="0"/>
        <v>1.2757967814781258E-2</v>
      </c>
      <c r="H23" s="21">
        <f>'[3]Calcul sous cat &gt;20'!N32/100</f>
        <v>1.1436441155288066E-2</v>
      </c>
      <c r="I23" s="488">
        <f>G23+G24+G25+G26+G27</f>
        <v>0.10867857427615525</v>
      </c>
      <c r="J23" s="488">
        <f>'[3]Calcul sous cat &gt;20'!N9/100</f>
        <v>9.5402434159191765E-2</v>
      </c>
    </row>
    <row r="24" spans="1:10" s="1" customFormat="1" ht="15" customHeight="1" x14ac:dyDescent="0.2">
      <c r="A24" s="486"/>
      <c r="B24" s="18" t="s">
        <v>33</v>
      </c>
      <c r="C24" s="19">
        <f>'[3]F 4 TRI _ Granulo'!K11</f>
        <v>0</v>
      </c>
      <c r="D24" s="20">
        <f>'[3]F 4 TRI _ Granulo'!H11</f>
        <v>0.66999999999999993</v>
      </c>
      <c r="E24" s="20">
        <f>'[3]F 4 TRI _ Granulo'!E11</f>
        <v>0</v>
      </c>
      <c r="F24" s="20">
        <f t="shared" si="1"/>
        <v>0.66999999999999993</v>
      </c>
      <c r="G24" s="21">
        <f t="shared" si="0"/>
        <v>8.8471454079125794E-3</v>
      </c>
      <c r="H24" s="21">
        <f>'[3]Calcul sous cat &gt;20'!N33/100</f>
        <v>7.6622878162588325E-3</v>
      </c>
      <c r="I24" s="488"/>
      <c r="J24" s="488"/>
    </row>
    <row r="25" spans="1:10" s="1" customFormat="1" ht="15" customHeight="1" x14ac:dyDescent="0.2">
      <c r="A25" s="486"/>
      <c r="B25" s="18" t="s">
        <v>34</v>
      </c>
      <c r="C25" s="19">
        <f>'[3]F 4 TRI _ Granulo'!K12</f>
        <v>0.5561690909090915</v>
      </c>
      <c r="D25" s="20">
        <f>'[3]F 4 TRI _ Granulo'!H12</f>
        <v>2.35</v>
      </c>
      <c r="E25" s="20">
        <f>'[3]F 4 TRI _ Granulo'!E12</f>
        <v>0</v>
      </c>
      <c r="F25" s="20">
        <f t="shared" si="1"/>
        <v>2.9061690909090916</v>
      </c>
      <c r="G25" s="21">
        <f t="shared" si="0"/>
        <v>3.8375075413811716E-2</v>
      </c>
      <c r="H25" s="21">
        <f>'[3]Calcul sous cat &gt;20'!N34/100</f>
        <v>3.3235677637702597E-2</v>
      </c>
      <c r="I25" s="488"/>
      <c r="J25" s="488"/>
    </row>
    <row r="26" spans="1:10" s="1" customFormat="1" ht="15" customHeight="1" x14ac:dyDescent="0.2">
      <c r="A26" s="486"/>
      <c r="B26" s="18" t="s">
        <v>35</v>
      </c>
      <c r="C26" s="19">
        <f>'[3]F 4 TRI _ Granulo'!K13</f>
        <v>0.87398000000000087</v>
      </c>
      <c r="D26" s="20">
        <f>'[3]F 4 TRI _ Granulo'!H13</f>
        <v>0.87000000000000011</v>
      </c>
      <c r="E26" s="20">
        <f>'[3]F 4 TRI _ Granulo'!E13</f>
        <v>0</v>
      </c>
      <c r="F26" s="20">
        <f t="shared" si="1"/>
        <v>1.743980000000001</v>
      </c>
      <c r="G26" s="21">
        <f t="shared" si="0"/>
        <v>2.3028723355957299E-2</v>
      </c>
      <c r="H26" s="21">
        <f>'[3]Calcul sous cat &gt;20'!N35/100</f>
        <v>2.0140581289066005E-2</v>
      </c>
      <c r="I26" s="488"/>
      <c r="J26" s="488"/>
    </row>
    <row r="27" spans="1:10" s="1" customFormat="1" ht="15" customHeight="1" x14ac:dyDescent="0.2">
      <c r="A27" s="487"/>
      <c r="B27" s="18" t="s">
        <v>36</v>
      </c>
      <c r="C27" s="19">
        <f>'[3]F 4 TRI _ Granulo'!K14</f>
        <v>0.87398000000000087</v>
      </c>
      <c r="D27" s="20">
        <f>'[3]F 4 TRI _ Granulo'!H14</f>
        <v>0.37000000000000011</v>
      </c>
      <c r="E27" s="20">
        <f>'[3]F 4 TRI _ Granulo'!E14</f>
        <v>0.7</v>
      </c>
      <c r="F27" s="20">
        <f t="shared" si="1"/>
        <v>1.9439800000000009</v>
      </c>
      <c r="G27" s="21">
        <f t="shared" si="0"/>
        <v>2.5669662283692399E-2</v>
      </c>
      <c r="H27" s="21">
        <f>'[3]Calcul sous cat &gt;20'!N36/100</f>
        <v>2.2927446260876252E-2</v>
      </c>
      <c r="I27" s="488"/>
      <c r="J27" s="488"/>
    </row>
    <row r="28" spans="1:10" s="1" customFormat="1" ht="15" customHeight="1" x14ac:dyDescent="0.2">
      <c r="A28" s="485" t="s">
        <v>37</v>
      </c>
      <c r="B28" s="18" t="s">
        <v>38</v>
      </c>
      <c r="C28" s="19">
        <f>'[3]F 4 TRI _ Granulo'!K15</f>
        <v>3.4164672727272745</v>
      </c>
      <c r="D28" s="20">
        <f>'[3]F 4 TRI _ Granulo'!H15</f>
        <v>1.4800000000000004</v>
      </c>
      <c r="E28" s="20">
        <f>'[3]F 4 TRI _ Granulo'!E15</f>
        <v>0</v>
      </c>
      <c r="F28" s="20">
        <f t="shared" si="1"/>
        <v>4.8964672727272749</v>
      </c>
      <c r="G28" s="21">
        <f t="shared" si="0"/>
        <v>6.4656355144631861E-2</v>
      </c>
      <c r="H28" s="21">
        <f>'[3]Calcul sous cat &gt;20'!N37/100</f>
        <v>5.6745272985387611E-2</v>
      </c>
      <c r="I28" s="488">
        <f>G28+G29+G30</f>
        <v>7.3100133144136478E-2</v>
      </c>
      <c r="J28" s="488">
        <f>'[3]Calcul sous cat &gt;20'!N10/100</f>
        <v>6.4179952735595264E-2</v>
      </c>
    </row>
    <row r="29" spans="1:10" s="1" customFormat="1" ht="15" customHeight="1" x14ac:dyDescent="0.2">
      <c r="A29" s="486"/>
      <c r="B29" s="18" t="s">
        <v>39</v>
      </c>
      <c r="C29" s="19">
        <f>'[3]F 4 TRI _ Granulo'!K16</f>
        <v>7.9452727272727355E-2</v>
      </c>
      <c r="D29" s="20">
        <f>'[3]F 4 TRI _ Granulo'!H16</f>
        <v>0.49000000000000021</v>
      </c>
      <c r="E29" s="20">
        <f>'[3]F 4 TRI _ Granulo'!E16</f>
        <v>0</v>
      </c>
      <c r="F29" s="20">
        <f t="shared" si="1"/>
        <v>0.56945272727272755</v>
      </c>
      <c r="G29" s="21">
        <f t="shared" si="0"/>
        <v>7.5194493747973235E-3</v>
      </c>
      <c r="H29" s="21">
        <f>'[3]Calcul sous cat &gt;20'!N38/100</f>
        <v>6.6061793002478945E-3</v>
      </c>
      <c r="I29" s="488"/>
      <c r="J29" s="488"/>
    </row>
    <row r="30" spans="1:10" s="1" customFormat="1" ht="15" customHeight="1" x14ac:dyDescent="0.2">
      <c r="A30" s="487"/>
      <c r="B30" s="18" t="s">
        <v>40</v>
      </c>
      <c r="C30" s="19">
        <f>'[3]F 4 TRI _ Granulo'!K17</f>
        <v>0</v>
      </c>
      <c r="D30" s="20">
        <f>'[3]F 4 TRI _ Granulo'!H17</f>
        <v>7.0000000000000062E-2</v>
      </c>
      <c r="E30" s="20">
        <f>'[3]F 4 TRI _ Granulo'!E17</f>
        <v>0</v>
      </c>
      <c r="F30" s="20">
        <f t="shared" si="1"/>
        <v>7.0000000000000062E-2</v>
      </c>
      <c r="G30" s="21">
        <f t="shared" si="0"/>
        <v>9.2432862470728534E-4</v>
      </c>
      <c r="H30" s="21">
        <f>'[3]Calcul sous cat &gt;20'!N39/100</f>
        <v>8.2850044995975785E-4</v>
      </c>
      <c r="I30" s="488"/>
      <c r="J30" s="488"/>
    </row>
    <row r="31" spans="1:10" s="1" customFormat="1" ht="15" customHeight="1" x14ac:dyDescent="0.2">
      <c r="A31" s="492" t="s">
        <v>41</v>
      </c>
      <c r="B31" s="18" t="s">
        <v>42</v>
      </c>
      <c r="C31" s="19">
        <f>'[3]F 4 TRI _ Granulo'!K18</f>
        <v>0</v>
      </c>
      <c r="D31" s="20">
        <f>'[3]F 4 TRI _ Granulo'!H18</f>
        <v>0.27</v>
      </c>
      <c r="E31" s="20">
        <f>'[3]F 4 TRI _ Granulo'!E18</f>
        <v>0</v>
      </c>
      <c r="F31" s="20">
        <f t="shared" si="1"/>
        <v>0.27</v>
      </c>
      <c r="G31" s="21">
        <f t="shared" si="0"/>
        <v>3.5652675524423835E-3</v>
      </c>
      <c r="H31" s="249">
        <f>G31*J31/I31</f>
        <v>3.9391892287872566E-3</v>
      </c>
      <c r="I31" s="495">
        <f>G31+G32+G33+G34</f>
        <v>2.1458613137811663E-2</v>
      </c>
      <c r="J31" s="495">
        <f>'[3]Calcul sous cat &gt;20'!N11/100</f>
        <v>2.3709170909003315E-2</v>
      </c>
    </row>
    <row r="32" spans="1:10" s="1" customFormat="1" ht="15" customHeight="1" x14ac:dyDescent="0.2">
      <c r="A32" s="493"/>
      <c r="B32" s="18" t="s">
        <v>43</v>
      </c>
      <c r="C32" s="19">
        <f>'[3]F 4 TRI _ Granulo'!K19</f>
        <v>0.71507454545454618</v>
      </c>
      <c r="D32" s="20">
        <f>'[3]F 4 TRI _ Granulo'!H19</f>
        <v>0.31000000000000005</v>
      </c>
      <c r="E32" s="20">
        <f>'[3]F 4 TRI _ Granulo'!E19</f>
        <v>0</v>
      </c>
      <c r="F32" s="20">
        <f t="shared" si="1"/>
        <v>1.0250745454545462</v>
      </c>
      <c r="G32" s="21">
        <f t="shared" si="0"/>
        <v>1.3535796354606364E-2</v>
      </c>
      <c r="H32" s="249">
        <f>G32*J31/I31</f>
        <v>1.4955417067253856E-2</v>
      </c>
      <c r="I32" s="496"/>
      <c r="J32" s="496"/>
    </row>
    <row r="33" spans="1:10" s="1" customFormat="1" ht="15" customHeight="1" x14ac:dyDescent="0.2">
      <c r="A33" s="493"/>
      <c r="B33" s="18" t="s">
        <v>44</v>
      </c>
      <c r="C33" s="19">
        <f>'[3]F 4 TRI _ Granulo'!K20</f>
        <v>0</v>
      </c>
      <c r="D33" s="20">
        <f>'[3]F 4 TRI _ Granulo'!H20</f>
        <v>0.33000000000000007</v>
      </c>
      <c r="E33" s="20">
        <f>'[3]F 4 TRI _ Granulo'!E20</f>
        <v>0</v>
      </c>
      <c r="F33" s="20">
        <f t="shared" si="1"/>
        <v>0.33000000000000007</v>
      </c>
      <c r="G33" s="21">
        <f t="shared" si="0"/>
        <v>4.3575492307629136E-3</v>
      </c>
      <c r="H33" s="21">
        <f>G33*J31/I31</f>
        <v>4.814564612962203E-3</v>
      </c>
      <c r="I33" s="496"/>
      <c r="J33" s="496"/>
    </row>
    <row r="34" spans="1:10" s="1" customFormat="1" ht="15" customHeight="1" x14ac:dyDescent="0.2">
      <c r="A34" s="494"/>
      <c r="B34" s="18" t="s">
        <v>120</v>
      </c>
      <c r="C34" s="19">
        <f>'[3]F 4 TRI _ Granulo'!K21</f>
        <v>0</v>
      </c>
      <c r="D34" s="20">
        <f>'[3]F 4 TRI _ Granulo'!H21</f>
        <v>0</v>
      </c>
      <c r="E34" s="20">
        <f>'[3]F 4 TRI _ Granulo'!E21</f>
        <v>0</v>
      </c>
      <c r="F34" s="20">
        <f t="shared" si="1"/>
        <v>0</v>
      </c>
      <c r="G34" s="21">
        <f t="shared" si="0"/>
        <v>0</v>
      </c>
      <c r="H34" s="175">
        <f>G34*J31/I31</f>
        <v>0</v>
      </c>
      <c r="I34" s="497"/>
      <c r="J34" s="497"/>
    </row>
    <row r="35" spans="1:10" s="1" customFormat="1" ht="15" customHeight="1" x14ac:dyDescent="0.2">
      <c r="A35" s="244" t="s">
        <v>45</v>
      </c>
      <c r="B35" s="18" t="s">
        <v>46</v>
      </c>
      <c r="C35" s="19">
        <f>'[3]F 4 TRI _ Granulo'!K22</f>
        <v>3.0986563636363651</v>
      </c>
      <c r="D35" s="20">
        <f>'[3]F 4 TRI _ Granulo'!H22</f>
        <v>0.77</v>
      </c>
      <c r="E35" s="20">
        <f>'[3]F 4 TRI _ Granulo'!E22</f>
        <v>0</v>
      </c>
      <c r="F35" s="20">
        <f t="shared" si="1"/>
        <v>3.8686563636363651</v>
      </c>
      <c r="G35" s="21">
        <f t="shared" si="0"/>
        <v>5.108442594378694E-2</v>
      </c>
      <c r="H35" s="21">
        <f>'[3]Calcul sous cat &gt;20'!N43/100</f>
        <v>4.4804615907116166E-2</v>
      </c>
      <c r="I35" s="245">
        <f>G35</f>
        <v>5.108442594378694E-2</v>
      </c>
      <c r="J35" s="245">
        <f>'[3]Calcul sous cat &gt;20'!N12/100</f>
        <v>4.4804615907116166E-2</v>
      </c>
    </row>
    <row r="36" spans="1:10" s="1" customFormat="1" ht="15" customHeight="1" x14ac:dyDescent="0.2">
      <c r="A36" s="485" t="s">
        <v>47</v>
      </c>
      <c r="B36" s="18" t="s">
        <v>48</v>
      </c>
      <c r="C36" s="19">
        <f>'[3]F 4 TRI _ Granulo'!K23</f>
        <v>2.7808454545454557</v>
      </c>
      <c r="D36" s="20">
        <f>'[3]F 4 TRI _ Granulo'!H23</f>
        <v>0.5900000000000003</v>
      </c>
      <c r="E36" s="20">
        <f>'[3]F 4 TRI _ Granulo'!E23</f>
        <v>0</v>
      </c>
      <c r="F36" s="20">
        <f t="shared" si="1"/>
        <v>3.370845454545456</v>
      </c>
      <c r="G36" s="21">
        <f t="shared" si="0"/>
        <v>4.4510984901440037E-2</v>
      </c>
      <c r="H36" s="21">
        <f>'[3]Calcul sous cat &gt;20'!N44/100</f>
        <v>4.0660257058727493E-2</v>
      </c>
      <c r="I36" s="488">
        <f>G36+G37</f>
        <v>0.13409924403603363</v>
      </c>
      <c r="J36" s="488">
        <f>'[3]Calcul sous cat &gt;20'!N13/100</f>
        <v>0.12113113406682147</v>
      </c>
    </row>
    <row r="37" spans="1:10" s="1" customFormat="1" ht="15" customHeight="1" x14ac:dyDescent="0.2">
      <c r="A37" s="487"/>
      <c r="B37" s="18" t="s">
        <v>49</v>
      </c>
      <c r="C37" s="19">
        <f>'[3]F 4 TRI _ Granulo'!K24</f>
        <v>6.5945763636363646</v>
      </c>
      <c r="D37" s="20">
        <f>'[3]F 4 TRI _ Granulo'!H24</f>
        <v>0.19000000000000017</v>
      </c>
      <c r="E37" s="20">
        <f>'[3]F 4 TRI _ Granulo'!E24</f>
        <v>0</v>
      </c>
      <c r="F37" s="20">
        <f t="shared" si="1"/>
        <v>6.784576363636365</v>
      </c>
      <c r="G37" s="21">
        <f t="shared" si="0"/>
        <v>8.9588259134593576E-2</v>
      </c>
      <c r="H37" s="21">
        <f>'[3]Calcul sous cat &gt;20'!N45/100</f>
        <v>8.0470877008093952E-2</v>
      </c>
      <c r="I37" s="488"/>
      <c r="J37" s="488"/>
    </row>
    <row r="38" spans="1:10" s="1" customFormat="1" ht="15" customHeight="1" x14ac:dyDescent="0.2">
      <c r="A38" s="485" t="s">
        <v>50</v>
      </c>
      <c r="B38" s="18" t="s">
        <v>51</v>
      </c>
      <c r="C38" s="19">
        <f>'[3]F 4 TRI _ Granulo'!K25</f>
        <v>1.1917909090909102</v>
      </c>
      <c r="D38" s="20">
        <f>'[3]F 4 TRI _ Granulo'!H25</f>
        <v>4.6099999999999994</v>
      </c>
      <c r="E38" s="20">
        <f>'[3]F 4 TRI _ Granulo'!E25</f>
        <v>0</v>
      </c>
      <c r="F38" s="20">
        <f t="shared" si="1"/>
        <v>5.8017909090909097</v>
      </c>
      <c r="G38" s="21">
        <f t="shared" si="0"/>
        <v>7.6610877311988956E-2</v>
      </c>
      <c r="H38" s="21">
        <f>'[3]Calcul sous cat &gt;20'!N46/100</f>
        <v>7.8451195715781269E-2</v>
      </c>
      <c r="I38" s="488">
        <f>G38+G39+G40+G41+G42</f>
        <v>0.18891646909442419</v>
      </c>
      <c r="J38" s="488">
        <f>'[3]Calcul sous cat &gt;20'!N14/100</f>
        <v>0.18695345315664416</v>
      </c>
    </row>
    <row r="39" spans="1:10" s="1" customFormat="1" ht="15" customHeight="1" x14ac:dyDescent="0.2">
      <c r="A39" s="486"/>
      <c r="B39" s="18" t="s">
        <v>52</v>
      </c>
      <c r="C39" s="19">
        <f>'[3]F 4 TRI _ Granulo'!K26</f>
        <v>1.6685072727272745</v>
      </c>
      <c r="D39" s="20">
        <f>'[3]F 4 TRI _ Granulo'!H26</f>
        <v>1.1200000000000001</v>
      </c>
      <c r="E39" s="20">
        <f>'[3]F 4 TRI _ Granulo'!E26</f>
        <v>0</v>
      </c>
      <c r="F39" s="20">
        <f t="shared" si="1"/>
        <v>2.7885072727272746</v>
      </c>
      <c r="G39" s="21">
        <f t="shared" si="0"/>
        <v>3.6821387034089464E-2</v>
      </c>
      <c r="H39" s="21">
        <f>'[3]Calcul sous cat &gt;20'!N47/100</f>
        <v>3.369332122382971E-2</v>
      </c>
      <c r="I39" s="488"/>
      <c r="J39" s="488"/>
    </row>
    <row r="40" spans="1:10" s="1" customFormat="1" ht="15" customHeight="1" x14ac:dyDescent="0.2">
      <c r="A40" s="486"/>
      <c r="B40" s="18" t="s">
        <v>53</v>
      </c>
      <c r="C40" s="19">
        <f>'[3]F 4 TRI _ Granulo'!K27</f>
        <v>1.0328854545454556</v>
      </c>
      <c r="D40" s="20">
        <f>'[3]F 4 TRI _ Granulo'!H27</f>
        <v>0.66999999999999993</v>
      </c>
      <c r="E40" s="20">
        <f>'[3]F 4 TRI _ Granulo'!E27</f>
        <v>0</v>
      </c>
      <c r="F40" s="20">
        <f t="shared" si="1"/>
        <v>1.7028854545454555</v>
      </c>
      <c r="G40" s="21">
        <f t="shared" si="0"/>
        <v>2.2486082431914856E-2</v>
      </c>
      <c r="H40" s="21">
        <f>'[3]Calcul sous cat &gt;20'!N48/100</f>
        <v>2.0571603979561866E-2</v>
      </c>
      <c r="I40" s="488"/>
      <c r="J40" s="488"/>
    </row>
    <row r="41" spans="1:10" s="1" customFormat="1" ht="15" customHeight="1" x14ac:dyDescent="0.2">
      <c r="A41" s="486"/>
      <c r="B41" s="18" t="s">
        <v>54</v>
      </c>
      <c r="C41" s="19">
        <f>'[3]F 4 TRI _ Granulo'!K28</f>
        <v>1.8274127272727272</v>
      </c>
      <c r="D41" s="20">
        <f>'[3]F 4 TRI _ Granulo'!H28</f>
        <v>1.4000000000000004</v>
      </c>
      <c r="E41" s="20">
        <f>'[3]F 4 TRI _ Granulo'!E28</f>
        <v>0</v>
      </c>
      <c r="F41" s="20">
        <f t="shared" si="1"/>
        <v>3.2274127272727275</v>
      </c>
      <c r="G41" s="21">
        <f t="shared" si="0"/>
        <v>4.2616999536611237E-2</v>
      </c>
      <c r="H41" s="21">
        <f>'[3]Calcul sous cat &gt;20'!N49/100</f>
        <v>4.3612347421048456E-2</v>
      </c>
      <c r="I41" s="488"/>
      <c r="J41" s="488"/>
    </row>
    <row r="42" spans="1:10" s="1" customFormat="1" ht="27" customHeight="1" x14ac:dyDescent="0.2">
      <c r="A42" s="487"/>
      <c r="B42" s="18" t="s">
        <v>55</v>
      </c>
      <c r="C42" s="19">
        <f>'[3]F 4 TRI _ Granulo'!K29</f>
        <v>0.5561690909090915</v>
      </c>
      <c r="D42" s="20">
        <f>'[3]F 4 TRI _ Granulo'!H29</f>
        <v>0.22999999999999998</v>
      </c>
      <c r="E42" s="20">
        <f>'[3]F 4 TRI _ Granulo'!E29</f>
        <v>0</v>
      </c>
      <c r="F42" s="20">
        <f t="shared" si="1"/>
        <v>0.78616909090909148</v>
      </c>
      <c r="G42" s="21">
        <f t="shared" si="0"/>
        <v>1.0381122779819667E-2</v>
      </c>
      <c r="H42" s="21">
        <f>'[3]Calcul sous cat &gt;20'!N50/100</f>
        <v>1.0624984816422815E-2</v>
      </c>
      <c r="I42" s="488"/>
      <c r="J42" s="488"/>
    </row>
    <row r="43" spans="1:10" s="1" customFormat="1" ht="26.25" customHeight="1" x14ac:dyDescent="0.2">
      <c r="A43" s="244" t="s">
        <v>56</v>
      </c>
      <c r="B43" s="18" t="s">
        <v>56</v>
      </c>
      <c r="C43" s="19">
        <f>'[3]F 4 TRI _ Granulo'!K30</f>
        <v>1.9863181818181821</v>
      </c>
      <c r="D43" s="20">
        <f>'[3]F 4 TRI _ Granulo'!H30</f>
        <v>3.69</v>
      </c>
      <c r="E43" s="20">
        <f>'[3]F 4 TRI _ Granulo'!E30</f>
        <v>0.2</v>
      </c>
      <c r="F43" s="20">
        <f t="shared" si="1"/>
        <v>5.8763181818181822</v>
      </c>
      <c r="G43" s="21">
        <f t="shared" si="0"/>
        <v>7.7594987190605869E-2</v>
      </c>
      <c r="H43" s="21">
        <f>J43</f>
        <v>6.9502255549022063E-2</v>
      </c>
      <c r="I43" s="245">
        <f>G43</f>
        <v>7.7594987190605869E-2</v>
      </c>
      <c r="J43" s="245">
        <f>'[3]Calcul sous cat &gt;20'!N15/100</f>
        <v>6.9502255549022063E-2</v>
      </c>
    </row>
    <row r="44" spans="1:10" s="1" customFormat="1" ht="15" customHeight="1" x14ac:dyDescent="0.2">
      <c r="A44" s="485" t="s">
        <v>57</v>
      </c>
      <c r="B44" s="18" t="s">
        <v>58</v>
      </c>
      <c r="C44" s="19">
        <f>'[3]F 4 TRI _ Granulo'!K31</f>
        <v>2.145223636363637</v>
      </c>
      <c r="D44" s="20">
        <f>'[3]F 4 TRI _ Granulo'!H31</f>
        <v>2.65</v>
      </c>
      <c r="E44" s="20">
        <f>'[3]F 4 TRI _ Granulo'!E31</f>
        <v>0</v>
      </c>
      <c r="F44" s="20">
        <f t="shared" si="1"/>
        <v>4.7952236363636374</v>
      </c>
      <c r="G44" s="21">
        <f t="shared" si="0"/>
        <v>6.3319463842340926E-2</v>
      </c>
      <c r="H44" s="21">
        <f>G44*J44/I44</f>
        <v>5.5457610258306762E-2</v>
      </c>
      <c r="I44" s="488">
        <f>G44+G45</f>
        <v>6.8565208851572565E-2</v>
      </c>
      <c r="J44" s="488">
        <f>'[3]Calcul sous cat &gt;20'!N16/100</f>
        <v>6.0052034540874578E-2</v>
      </c>
    </row>
    <row r="45" spans="1:10" s="1" customFormat="1" ht="15" customHeight="1" x14ac:dyDescent="0.2">
      <c r="A45" s="487"/>
      <c r="B45" s="18" t="s">
        <v>59</v>
      </c>
      <c r="C45" s="19">
        <f>'[3]F 4 TRI _ Granulo'!K32</f>
        <v>0.39726363636363682</v>
      </c>
      <c r="D45" s="20">
        <f>'[3]F 4 TRI _ Granulo'!H32</f>
        <v>0</v>
      </c>
      <c r="E45" s="20">
        <f>'[3]F 4 TRI _ Granulo'!E32</f>
        <v>0</v>
      </c>
      <c r="F45" s="20">
        <f t="shared" si="1"/>
        <v>0.39726363636363682</v>
      </c>
      <c r="G45" s="21">
        <f t="shared" si="0"/>
        <v>5.2457450092316454E-3</v>
      </c>
      <c r="H45" s="21">
        <f>G45*J44/I44</f>
        <v>4.5944242825678222E-3</v>
      </c>
      <c r="I45" s="488"/>
      <c r="J45" s="488"/>
    </row>
    <row r="46" spans="1:10" s="1" customFormat="1" ht="15" customHeight="1" x14ac:dyDescent="0.2">
      <c r="A46" s="485" t="s">
        <v>60</v>
      </c>
      <c r="B46" s="18" t="s">
        <v>61</v>
      </c>
      <c r="C46" s="19">
        <f>'[3]F 4 TRI _ Granulo'!K33</f>
        <v>3.0986563636363651</v>
      </c>
      <c r="D46" s="20">
        <f>'[3]F 4 TRI _ Granulo'!H33</f>
        <v>0.15000000000000013</v>
      </c>
      <c r="E46" s="20">
        <f>'[3]F 4 TRI _ Granulo'!E33</f>
        <v>0</v>
      </c>
      <c r="F46" s="20">
        <f t="shared" si="1"/>
        <v>3.248656363636365</v>
      </c>
      <c r="G46" s="21">
        <f t="shared" si="0"/>
        <v>4.2897515267808134E-2</v>
      </c>
      <c r="H46" s="21">
        <f t="shared" ref="H46:H51" si="2">G46*$J$46/$I$46</f>
        <v>3.8798914768100802E-2</v>
      </c>
      <c r="I46" s="488">
        <f>G46+G47+G50+G51+G48+G49</f>
        <v>5.8766797241889823E-2</v>
      </c>
      <c r="J46" s="488">
        <f>'[3]Calcul sous cat &gt;20'!N17/100</f>
        <v>5.3151981953915309E-2</v>
      </c>
    </row>
    <row r="47" spans="1:10" s="1" customFormat="1" ht="15" customHeight="1" x14ac:dyDescent="0.2">
      <c r="A47" s="486"/>
      <c r="B47" s="18" t="s">
        <v>62</v>
      </c>
      <c r="C47" s="19">
        <f>'[3]F 4 TRI _ Granulo'!K34</f>
        <v>0.71507454545454618</v>
      </c>
      <c r="D47" s="20">
        <f>'[3]F 4 TRI _ Granulo'!H34</f>
        <v>1.0000000000000009E-2</v>
      </c>
      <c r="E47" s="20">
        <f>'[3]F 4 TRI _ Granulo'!E34</f>
        <v>0</v>
      </c>
      <c r="F47" s="20">
        <f t="shared" si="1"/>
        <v>0.72507454545454619</v>
      </c>
      <c r="G47" s="21">
        <f t="shared" si="0"/>
        <v>9.5743879630037169E-3</v>
      </c>
      <c r="H47" s="21">
        <f t="shared" si="2"/>
        <v>8.6596125722946133E-3</v>
      </c>
      <c r="I47" s="488"/>
      <c r="J47" s="488"/>
    </row>
    <row r="48" spans="1:10" s="1" customFormat="1" ht="15" customHeight="1" x14ac:dyDescent="0.2">
      <c r="A48" s="486"/>
      <c r="B48" s="18" t="s">
        <v>63</v>
      </c>
      <c r="C48" s="19">
        <f>'[3]F 4 TRI _ Granulo'!K35</f>
        <v>0.4767163636363641</v>
      </c>
      <c r="D48" s="20">
        <f>'[3]F 4 TRI _ Granulo'!H35</f>
        <v>0</v>
      </c>
      <c r="E48" s="20">
        <f>'[3]F 4 TRI _ Granulo'!E35</f>
        <v>0</v>
      </c>
      <c r="F48" s="20">
        <f t="shared" si="1"/>
        <v>0.4767163636363641</v>
      </c>
      <c r="G48" s="21">
        <f t="shared" si="0"/>
        <v>6.2948940110779741E-3</v>
      </c>
      <c r="H48" s="21">
        <f t="shared" si="2"/>
        <v>5.6934546135198978E-3</v>
      </c>
      <c r="I48" s="488"/>
      <c r="J48" s="488"/>
    </row>
    <row r="49" spans="1:10" s="1" customFormat="1" ht="15" customHeight="1" x14ac:dyDescent="0.2">
      <c r="A49" s="486"/>
      <c r="B49" s="18" t="s">
        <v>64</v>
      </c>
      <c r="C49" s="19">
        <f>'[3]F 4 TRI _ Granulo'!K36</f>
        <v>0</v>
      </c>
      <c r="D49" s="20">
        <f>'[3]F 4 TRI _ Granulo'!H36</f>
        <v>0</v>
      </c>
      <c r="E49" s="20">
        <f>'[3]F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488"/>
      <c r="J49" s="488"/>
    </row>
    <row r="50" spans="1:10" s="1" customFormat="1" ht="15" customHeight="1" x14ac:dyDescent="0.2">
      <c r="A50" s="486"/>
      <c r="B50" s="18" t="s">
        <v>65</v>
      </c>
      <c r="C50" s="19">
        <f>'[3]F 4 TRI _ Granulo'!K37</f>
        <v>0</v>
      </c>
      <c r="D50" s="20">
        <f>'[3]F 4 TRI _ Granulo'!H37</f>
        <v>0</v>
      </c>
      <c r="E50" s="20">
        <f>'[3]F 4 TRI _ Granulo'!E37</f>
        <v>0</v>
      </c>
      <c r="F50" s="20">
        <f t="shared" si="1"/>
        <v>0</v>
      </c>
      <c r="G50" s="21">
        <f t="shared" si="0"/>
        <v>0</v>
      </c>
      <c r="H50" s="21">
        <f t="shared" si="2"/>
        <v>0</v>
      </c>
      <c r="I50" s="488"/>
      <c r="J50" s="488"/>
    </row>
    <row r="51" spans="1:10" s="1" customFormat="1" ht="15" customHeight="1" x14ac:dyDescent="0.2">
      <c r="A51" s="487"/>
      <c r="B51" s="18" t="s">
        <v>66</v>
      </c>
      <c r="C51" s="19">
        <f>'[3]F 4 TRI _ Granulo'!K38</f>
        <v>0</v>
      </c>
      <c r="D51" s="20">
        <f>'[3]F 4 TRI _ Granulo'!H38</f>
        <v>0</v>
      </c>
      <c r="E51" s="20">
        <f>'[3]F 4 TRI _ Granulo'!E38</f>
        <v>0</v>
      </c>
      <c r="F51" s="20">
        <f t="shared" si="1"/>
        <v>0</v>
      </c>
      <c r="G51" s="21">
        <f t="shared" si="0"/>
        <v>0</v>
      </c>
      <c r="H51" s="21">
        <f t="shared" si="2"/>
        <v>0</v>
      </c>
      <c r="I51" s="488"/>
      <c r="J51" s="488"/>
    </row>
    <row r="52" spans="1:10" s="1" customFormat="1" ht="15" customHeight="1" x14ac:dyDescent="0.2">
      <c r="A52" s="247" t="s">
        <v>67</v>
      </c>
      <c r="B52" s="18" t="s">
        <v>68</v>
      </c>
      <c r="C52" s="19">
        <f>'[3]F 4 TRI _ Granulo'!K39</f>
        <v>0</v>
      </c>
      <c r="D52" s="20">
        <f>'[3]F 4 TRI _ Granulo'!H39</f>
        <v>0.19000000000000017</v>
      </c>
      <c r="E52" s="20">
        <f>'[3]F 4 TRI _ Granulo'!E39</f>
        <v>0</v>
      </c>
      <c r="F52" s="20">
        <f t="shared" si="1"/>
        <v>0.19000000000000017</v>
      </c>
      <c r="G52" s="21">
        <f t="shared" si="0"/>
        <v>2.508891981348346E-3</v>
      </c>
      <c r="H52" s="21">
        <f>J52</f>
        <v>2.5093370714540037E-3</v>
      </c>
      <c r="I52" s="248">
        <f>G52</f>
        <v>2.508891981348346E-3</v>
      </c>
      <c r="J52" s="248">
        <f>'[3]Calcul sous cat &gt;20'!N18/100</f>
        <v>2.5093370714540037E-3</v>
      </c>
    </row>
    <row r="53" spans="1:10" s="1" customFormat="1" ht="15" customHeight="1" x14ac:dyDescent="0.2">
      <c r="A53" s="485" t="s">
        <v>69</v>
      </c>
      <c r="B53" s="18" t="s">
        <v>121</v>
      </c>
      <c r="C53" s="19">
        <f>'[3]F 4 TRI _ Granulo'!K40</f>
        <v>0</v>
      </c>
      <c r="D53" s="20">
        <f>'[3]F 4 TRI _ Granulo'!H40</f>
        <v>0.10000000000000009</v>
      </c>
      <c r="E53" s="20">
        <f>'[3]F 4 TRI _ Granulo'!E40</f>
        <v>0</v>
      </c>
      <c r="F53" s="20">
        <f t="shared" si="1"/>
        <v>0.10000000000000009</v>
      </c>
      <c r="G53" s="21">
        <f t="shared" si="0"/>
        <v>1.3204694638675504E-3</v>
      </c>
      <c r="H53" s="249">
        <f>G53*J53/I53</f>
        <v>1.1809300323012129E-3</v>
      </c>
      <c r="I53" s="488">
        <f>SUM(G53:G62)</f>
        <v>2.3352598502640435E-2</v>
      </c>
      <c r="J53" s="488">
        <f>'[3]Calcul sous cat &gt;20'!N19/100</f>
        <v>2.0884833507067463E-2</v>
      </c>
    </row>
    <row r="54" spans="1:10" s="1" customFormat="1" ht="15" customHeight="1" x14ac:dyDescent="0.2">
      <c r="A54" s="486"/>
      <c r="B54" s="18" t="s">
        <v>70</v>
      </c>
      <c r="C54" s="19">
        <f>'[3]F 4 TRI _ Granulo'!K41</f>
        <v>0</v>
      </c>
      <c r="D54" s="20">
        <f>'[3]F 4 TRI _ Granulo'!H41</f>
        <v>0</v>
      </c>
      <c r="E54" s="20">
        <f>'[3]F 4 TRI _ Granulo'!E41</f>
        <v>0</v>
      </c>
      <c r="F54" s="20">
        <f t="shared" si="1"/>
        <v>0</v>
      </c>
      <c r="G54" s="21">
        <f t="shared" si="0"/>
        <v>0</v>
      </c>
      <c r="H54" s="21">
        <f>G54*J53/I53</f>
        <v>0</v>
      </c>
      <c r="I54" s="488"/>
      <c r="J54" s="488"/>
    </row>
    <row r="55" spans="1:10" s="1" customFormat="1" ht="15" customHeight="1" x14ac:dyDescent="0.2">
      <c r="A55" s="486"/>
      <c r="B55" s="18" t="s">
        <v>71</v>
      </c>
      <c r="C55" s="19">
        <f>'[3]F 4 TRI _ Granulo'!K42</f>
        <v>1.2712436363636359</v>
      </c>
      <c r="D55" s="20">
        <f>'[3]F 4 TRI _ Granulo'!H42</f>
        <v>0</v>
      </c>
      <c r="E55" s="20">
        <f>'[3]F 4 TRI _ Granulo'!E42</f>
        <v>0</v>
      </c>
      <c r="F55" s="20">
        <f>SUM(C55:E55)</f>
        <v>1.2712436363636359</v>
      </c>
      <c r="G55" s="21">
        <f t="shared" si="0"/>
        <v>1.6786384029541242E-2</v>
      </c>
      <c r="H55" s="251">
        <f>G55*J53/I53</f>
        <v>1.5012497885536187E-2</v>
      </c>
      <c r="I55" s="488"/>
      <c r="J55" s="488"/>
    </row>
    <row r="56" spans="1:10" s="1" customFormat="1" ht="15" customHeight="1" x14ac:dyDescent="0.2">
      <c r="A56" s="486"/>
      <c r="B56" s="18" t="s">
        <v>72</v>
      </c>
      <c r="C56" s="19">
        <f>'[3]F 4 TRI _ Granulo'!K43</f>
        <v>0</v>
      </c>
      <c r="D56" s="20">
        <f>'[3]F 4 TRI _ Granulo'!H43</f>
        <v>0</v>
      </c>
      <c r="E56" s="20">
        <f>'[3]F 4 TRI _ Granulo'!E43</f>
        <v>0</v>
      </c>
      <c r="F56" s="20">
        <f t="shared" si="1"/>
        <v>0</v>
      </c>
      <c r="G56" s="21">
        <f>F56/$F$64</f>
        <v>0</v>
      </c>
      <c r="H56" s="251">
        <f>G56*J53/I53</f>
        <v>0</v>
      </c>
      <c r="I56" s="488"/>
      <c r="J56" s="488"/>
    </row>
    <row r="57" spans="1:10" s="1" customFormat="1" ht="17.25" customHeight="1" x14ac:dyDescent="0.2">
      <c r="A57" s="486"/>
      <c r="B57" s="18" t="s">
        <v>122</v>
      </c>
      <c r="C57" s="19">
        <f>'[3]F 4 TRI _ Granulo'!K44</f>
        <v>7.9452727272727286E-2</v>
      </c>
      <c r="D57" s="20">
        <f>'[3]F 4 TRI _ Granulo'!H44</f>
        <v>0</v>
      </c>
      <c r="E57" s="20">
        <f>'[3]F 4 TRI _ Granulo'!E44</f>
        <v>0</v>
      </c>
      <c r="F57" s="20">
        <f t="shared" si="1"/>
        <v>7.9452727272727286E-2</v>
      </c>
      <c r="G57" s="21">
        <f t="shared" ref="G57:G62" si="3">F57/$F$64</f>
        <v>1.0491490018463281E-3</v>
      </c>
      <c r="H57" s="251">
        <f>G57*J53/I53</f>
        <v>9.3828111784601215E-4</v>
      </c>
      <c r="I57" s="488"/>
      <c r="J57" s="488"/>
    </row>
    <row r="58" spans="1:10" s="1" customFormat="1" ht="17.25" customHeight="1" x14ac:dyDescent="0.2">
      <c r="A58" s="486"/>
      <c r="B58" s="18" t="s">
        <v>123</v>
      </c>
      <c r="C58" s="19">
        <f>'[3]F 4 TRI _ Granulo'!K45</f>
        <v>0</v>
      </c>
      <c r="D58" s="20">
        <f>'[3]F 4 TRI _ Granulo'!H45</f>
        <v>0</v>
      </c>
      <c r="E58" s="20">
        <f>'[3]F 4 TRI _ Granulo'!E45</f>
        <v>0</v>
      </c>
      <c r="F58" s="20">
        <f t="shared" si="1"/>
        <v>0</v>
      </c>
      <c r="G58" s="21">
        <f t="shared" si="3"/>
        <v>0</v>
      </c>
      <c r="H58" s="251">
        <f>G58*J53/I53</f>
        <v>0</v>
      </c>
      <c r="I58" s="488"/>
      <c r="J58" s="488"/>
    </row>
    <row r="59" spans="1:10" s="1" customFormat="1" ht="25.5" customHeight="1" x14ac:dyDescent="0.2">
      <c r="A59" s="486"/>
      <c r="B59" s="18" t="s">
        <v>124</v>
      </c>
      <c r="C59" s="19">
        <f>'[3]F 4 TRI _ Granulo'!K46</f>
        <v>0</v>
      </c>
      <c r="D59" s="20">
        <f>'[3]F 4 TRI _ Granulo'!H46</f>
        <v>0</v>
      </c>
      <c r="E59" s="20">
        <f>'[3]F 4 TRI _ Granulo'!E46</f>
        <v>0</v>
      </c>
      <c r="F59" s="20">
        <f t="shared" si="1"/>
        <v>0</v>
      </c>
      <c r="G59" s="21">
        <f t="shared" si="3"/>
        <v>0</v>
      </c>
      <c r="H59" s="251">
        <f>G59*J53/I53</f>
        <v>0</v>
      </c>
      <c r="I59" s="488"/>
      <c r="J59" s="488"/>
    </row>
    <row r="60" spans="1:10" ht="25.5" x14ac:dyDescent="0.25">
      <c r="A60" s="486"/>
      <c r="B60" s="18" t="s">
        <v>125</v>
      </c>
      <c r="C60" s="19">
        <f>'[3]F 4 TRI _ Granulo'!K47</f>
        <v>0</v>
      </c>
      <c r="D60" s="20">
        <f>'[3]F 4 TRI _ Granulo'!H47</f>
        <v>0</v>
      </c>
      <c r="E60" s="20">
        <f>'[3]F 4 TRI _ Granulo'!E47</f>
        <v>0</v>
      </c>
      <c r="F60" s="20">
        <f t="shared" si="1"/>
        <v>0</v>
      </c>
      <c r="G60" s="21">
        <f t="shared" si="3"/>
        <v>0</v>
      </c>
      <c r="H60" s="251">
        <f>G60*J53/I53</f>
        <v>0</v>
      </c>
      <c r="I60" s="488"/>
      <c r="J60" s="488"/>
    </row>
    <row r="61" spans="1:10" ht="38.25" x14ac:dyDescent="0.25">
      <c r="A61" s="486"/>
      <c r="B61" s="18" t="s">
        <v>126</v>
      </c>
      <c r="C61" s="19">
        <f>'[3]F 4 TRI _ Granulo'!K48</f>
        <v>0.31781090909090942</v>
      </c>
      <c r="D61" s="20">
        <f>'[3]F 4 TRI _ Granulo'!H48</f>
        <v>0</v>
      </c>
      <c r="E61" s="20">
        <f>'[3]F 4 TRI _ Granulo'!E48</f>
        <v>0</v>
      </c>
      <c r="F61" s="20">
        <f t="shared" si="1"/>
        <v>0.31781090909090942</v>
      </c>
      <c r="G61" s="21">
        <f t="shared" si="3"/>
        <v>4.1965960073853158E-3</v>
      </c>
      <c r="H61" s="251">
        <f>G61*J53/I53</f>
        <v>3.7531244713840516E-3</v>
      </c>
      <c r="I61" s="488"/>
      <c r="J61" s="488"/>
    </row>
    <row r="62" spans="1:10" ht="51" x14ac:dyDescent="0.25">
      <c r="A62" s="498"/>
      <c r="B62" s="18" t="s">
        <v>73</v>
      </c>
      <c r="C62" s="19">
        <f>'[3]F 4 TRI _ Granulo'!K49</f>
        <v>0</v>
      </c>
      <c r="D62" s="20">
        <f>'[3]F 4 TRI _ Granulo'!H49</f>
        <v>0</v>
      </c>
      <c r="E62" s="20">
        <f>'[3]F 4 TRI _ Granulo'!E49</f>
        <v>0</v>
      </c>
      <c r="F62" s="20">
        <f t="shared" si="1"/>
        <v>0</v>
      </c>
      <c r="G62" s="21">
        <f t="shared" si="3"/>
        <v>0</v>
      </c>
      <c r="H62" s="251">
        <f>G62*J53/I53</f>
        <v>0</v>
      </c>
      <c r="I62" s="488"/>
      <c r="J62" s="488"/>
    </row>
    <row r="63" spans="1:10" x14ac:dyDescent="0.25">
      <c r="A63" s="22" t="s">
        <v>74</v>
      </c>
      <c r="B63" s="23">
        <f>'[3]F 3 _ Criblage et Tri'!C27+'[3]F 3 _ Criblage et Tri'!D27</f>
        <v>5.5600000000000005</v>
      </c>
      <c r="C63" s="19">
        <f>'[3]F 4 TRI _ Granulo'!K50</f>
        <v>1.2712436363636377</v>
      </c>
      <c r="D63" s="20">
        <f>'[3]F 4 TRI _ Granulo'!H50</f>
        <v>0.2200000000000002</v>
      </c>
      <c r="E63" s="20">
        <f>'[3]F 4 TRI _ Granulo'!E50</f>
        <v>0</v>
      </c>
      <c r="F63" s="19">
        <f>SUM(B63:E63)</f>
        <v>7.0512436363636386</v>
      </c>
      <c r="G63" s="21">
        <f t="shared" si="0"/>
        <v>9.3109519041085623E-2</v>
      </c>
      <c r="H63" s="21">
        <f>J63</f>
        <v>4.5671243392575007E-2</v>
      </c>
      <c r="I63" s="24">
        <f>G63</f>
        <v>9.3109519041085623E-2</v>
      </c>
      <c r="J63" s="24">
        <f>'[3]Calcul sous cat &gt;20'!N20/100</f>
        <v>4.5671243392575007E-2</v>
      </c>
    </row>
    <row r="64" spans="1:10" x14ac:dyDescent="0.25">
      <c r="A64" s="25" t="s">
        <v>25</v>
      </c>
      <c r="B64" s="90">
        <f>B63</f>
        <v>5.5600000000000005</v>
      </c>
      <c r="C64" s="19">
        <f>SUM(C18:C63)</f>
        <v>43.460641818181848</v>
      </c>
      <c r="D64" s="19">
        <f>SUM(D18:D63)</f>
        <v>25.810000000000002</v>
      </c>
      <c r="E64" s="19">
        <f>SUM(E18:E63)</f>
        <v>0.89999999999999991</v>
      </c>
      <c r="F64" s="19">
        <f>SUM(B64:E64)</f>
        <v>75.730641818181851</v>
      </c>
      <c r="G64" s="21">
        <f t="shared" si="0"/>
        <v>1</v>
      </c>
      <c r="H64" s="21">
        <f>SUM(H18:H63)</f>
        <v>1.0000000000000002</v>
      </c>
      <c r="I64" s="24">
        <f>SUM(I18:I63)</f>
        <v>1</v>
      </c>
      <c r="J64" s="24">
        <f>SUM(J18:J63)</f>
        <v>1.0000000000000002</v>
      </c>
    </row>
    <row r="65" spans="1:10" ht="51.75" x14ac:dyDescent="0.25">
      <c r="A65" s="26" t="s">
        <v>75</v>
      </c>
      <c r="B65" s="235">
        <f>B64/$F$64</f>
        <v>7.3418102191035756E-2</v>
      </c>
      <c r="C65" s="235">
        <f>C64/$F$64</f>
        <v>0.57388450400994184</v>
      </c>
      <c r="D65" s="235">
        <f>D64/$F$64</f>
        <v>0.34081316862421451</v>
      </c>
      <c r="E65" s="235">
        <f>E64/$F$64</f>
        <v>1.1884225174807942E-2</v>
      </c>
      <c r="F65" s="235">
        <f>F64/$F$64</f>
        <v>1</v>
      </c>
      <c r="G65" s="1"/>
      <c r="H65" s="1"/>
      <c r="I65" s="1"/>
      <c r="J65" s="1"/>
    </row>
  </sheetData>
  <mergeCells count="40">
    <mergeCell ref="I53:I62"/>
    <mergeCell ref="J53:J62"/>
    <mergeCell ref="A44:A45"/>
    <mergeCell ref="I44:I45"/>
    <mergeCell ref="J44:J45"/>
    <mergeCell ref="A46:A51"/>
    <mergeCell ref="I46:I51"/>
    <mergeCell ref="J46:J51"/>
    <mergeCell ref="A53:A62"/>
    <mergeCell ref="A36:A37"/>
    <mergeCell ref="I36:I37"/>
    <mergeCell ref="J36:J37"/>
    <mergeCell ref="A38:A42"/>
    <mergeCell ref="I38:I42"/>
    <mergeCell ref="J38:J42"/>
    <mergeCell ref="A28:A30"/>
    <mergeCell ref="I28:I30"/>
    <mergeCell ref="J28:J30"/>
    <mergeCell ref="A31:A34"/>
    <mergeCell ref="I31:I34"/>
    <mergeCell ref="J31:J34"/>
    <mergeCell ref="A18:A22"/>
    <mergeCell ref="I18:I22"/>
    <mergeCell ref="J18:J22"/>
    <mergeCell ref="A23:A27"/>
    <mergeCell ref="I23:I27"/>
    <mergeCell ref="J23:J27"/>
    <mergeCell ref="D12:F12"/>
    <mergeCell ref="A14:J14"/>
    <mergeCell ref="G16:G17"/>
    <mergeCell ref="H16:H17"/>
    <mergeCell ref="I16:I17"/>
    <mergeCell ref="J16:J17"/>
    <mergeCell ref="B2:F2"/>
    <mergeCell ref="B11:C11"/>
    <mergeCell ref="D11:F11"/>
    <mergeCell ref="B3:F3"/>
    <mergeCell ref="A7:J7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O17" sqref="O17"/>
    </sheetView>
  </sheetViews>
  <sheetFormatPr baseColWidth="10" defaultRowHeight="15" x14ac:dyDescent="0.25"/>
  <sheetData>
    <row r="1" spans="1:10" s="1" customFormat="1" ht="12.75" x14ac:dyDescent="0.2"/>
    <row r="2" spans="1:10" s="1" customFormat="1" ht="15.75" x14ac:dyDescent="0.25">
      <c r="A2" s="1" t="s">
        <v>0</v>
      </c>
      <c r="B2" s="476" t="str">
        <f>'[4]F 1 _ Echant et Séchage'!D5</f>
        <v>IVR P15 PB PAR</v>
      </c>
      <c r="C2" s="476"/>
      <c r="D2" s="476"/>
      <c r="E2" s="476"/>
      <c r="F2" s="476"/>
      <c r="G2" s="2"/>
      <c r="H2" s="2"/>
      <c r="I2" s="2"/>
      <c r="J2" s="2"/>
    </row>
    <row r="3" spans="1:10" s="1" customFormat="1" ht="12.75" x14ac:dyDescent="0.2">
      <c r="A3" s="1" t="s">
        <v>1</v>
      </c>
      <c r="B3" s="483" t="str">
        <f>'[4]F 1 _ Echant et Séchage'!D6</f>
        <v>CN 548 PT</v>
      </c>
      <c r="C3" s="483"/>
      <c r="D3" s="483"/>
      <c r="E3" s="483"/>
      <c r="F3" s="483"/>
      <c r="G3" s="3"/>
      <c r="H3" s="3"/>
      <c r="I3" s="3"/>
      <c r="J3" s="3"/>
    </row>
    <row r="4" spans="1:10" s="1" customFormat="1" ht="12.75" x14ac:dyDescent="0.2">
      <c r="A4" s="1" t="s">
        <v>2</v>
      </c>
      <c r="B4" s="243"/>
      <c r="C4" s="243" t="str">
        <f>'[4]F 1 _ Echant et Séchage'!D8</f>
        <v>Ivry</v>
      </c>
      <c r="D4" s="243"/>
      <c r="E4" s="243"/>
      <c r="F4" s="243"/>
      <c r="G4" s="3"/>
      <c r="H4" s="3"/>
      <c r="I4" s="3"/>
      <c r="J4" s="3"/>
    </row>
    <row r="5" spans="1:10" s="1" customFormat="1" ht="12.75" x14ac:dyDescent="0.2">
      <c r="A5" s="1" t="s">
        <v>3</v>
      </c>
      <c r="B5" s="243"/>
      <c r="C5" s="243" t="str">
        <f>'[4]F 1 _ Echant et Séchage'!E15</f>
        <v>ensoleillé</v>
      </c>
      <c r="D5" s="243"/>
      <c r="E5" s="243"/>
      <c r="F5" s="243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478" t="s">
        <v>4</v>
      </c>
      <c r="B7" s="478"/>
      <c r="C7" s="478"/>
      <c r="D7" s="478"/>
      <c r="E7" s="478"/>
      <c r="F7" s="478"/>
      <c r="G7" s="478"/>
      <c r="H7" s="478"/>
      <c r="I7" s="478"/>
      <c r="J7" s="478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'[4]F 1 _ Echant et Séchage'!B12</f>
        <v>42145</v>
      </c>
      <c r="D9" s="477" t="s">
        <v>6</v>
      </c>
      <c r="E9" s="477"/>
      <c r="F9" s="477"/>
      <c r="G9" s="6">
        <f>'[4]F 1 _ Echant et Séchage'!G19</f>
        <v>124.64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>
        <f>'[4]F 1 _ Echant et Séchage'!E12</f>
        <v>0.3576388888888889</v>
      </c>
      <c r="D10" s="477" t="s">
        <v>9</v>
      </c>
      <c r="E10" s="477"/>
      <c r="F10" s="477"/>
      <c r="G10" s="243">
        <f>'[4]F 1 _ Echant et Séchage'!H26</f>
        <v>0.55000000000000004</v>
      </c>
      <c r="H10" s="243"/>
      <c r="I10" s="9"/>
      <c r="J10" s="1" t="s">
        <v>10</v>
      </c>
    </row>
    <row r="11" spans="1:10" s="1" customFormat="1" ht="12.75" x14ac:dyDescent="0.2">
      <c r="B11" s="477"/>
      <c r="C11" s="477"/>
      <c r="D11" s="477" t="s">
        <v>11</v>
      </c>
      <c r="E11" s="477"/>
      <c r="F11" s="477"/>
      <c r="G11" s="10">
        <f>G9/1000/G10</f>
        <v>0.2266181818181818</v>
      </c>
      <c r="H11" s="10"/>
      <c r="I11" s="3"/>
      <c r="J11" s="3" t="s">
        <v>12</v>
      </c>
    </row>
    <row r="12" spans="1:10" s="1" customFormat="1" ht="12.75" x14ac:dyDescent="0.2">
      <c r="B12" s="7"/>
      <c r="D12" s="477" t="s">
        <v>13</v>
      </c>
      <c r="E12" s="477"/>
      <c r="F12" s="477"/>
      <c r="G12" s="236">
        <f>'[4]F 1 _ Echant et Séchage'!D51</f>
        <v>0.40085847240051342</v>
      </c>
      <c r="H12" s="11"/>
      <c r="I12" s="11"/>
    </row>
    <row r="13" spans="1:10" s="1" customFormat="1" ht="12.75" x14ac:dyDescent="0.2">
      <c r="B13" s="12"/>
      <c r="G13" s="234"/>
      <c r="H13" s="234"/>
      <c r="I13" s="234"/>
    </row>
    <row r="14" spans="1:10" s="1" customFormat="1" ht="18.75" customHeight="1" x14ac:dyDescent="0.2">
      <c r="A14" s="478" t="s">
        <v>14</v>
      </c>
      <c r="B14" s="478"/>
      <c r="C14" s="478"/>
      <c r="D14" s="478"/>
      <c r="E14" s="478"/>
      <c r="F14" s="478"/>
      <c r="G14" s="478"/>
      <c r="H14" s="478"/>
      <c r="I14" s="478"/>
      <c r="J14" s="478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479" t="s">
        <v>16</v>
      </c>
      <c r="H16" s="481" t="s">
        <v>17</v>
      </c>
      <c r="I16" s="479" t="s">
        <v>18</v>
      </c>
      <c r="J16" s="481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0"/>
      <c r="H17" s="482"/>
      <c r="I17" s="480"/>
      <c r="J17" s="482"/>
    </row>
    <row r="18" spans="1:10" s="1" customFormat="1" ht="15" customHeight="1" x14ac:dyDescent="0.2">
      <c r="A18" s="489" t="s">
        <v>26</v>
      </c>
      <c r="B18" s="18" t="s">
        <v>119</v>
      </c>
      <c r="C18" s="19">
        <f>'[4]F 4 TRI _ Granulo'!K5</f>
        <v>1.9975609756097561</v>
      </c>
      <c r="D18" s="20">
        <f>'[4]F 4 TRI _ Granulo'!H5</f>
        <v>0.5900000000000003</v>
      </c>
      <c r="E18" s="20">
        <f>'[4]F 4 TRI _ Granulo'!E5</f>
        <v>0</v>
      </c>
      <c r="F18" s="20">
        <f>SUM(C18:E18)</f>
        <v>2.5875609756097564</v>
      </c>
      <c r="G18" s="21">
        <f t="shared" ref="G18:G64" si="0">F18/$F$64</f>
        <v>3.4225289227190446E-2</v>
      </c>
      <c r="H18" s="21">
        <f>G18*J18/I18</f>
        <v>7.6066613552351614E-2</v>
      </c>
      <c r="I18" s="484">
        <f>G18+G19+G20+G21+G22</f>
        <v>7.892452563987859E-2</v>
      </c>
      <c r="J18" s="484">
        <f>'[4]Calcul sous cat &gt;20'!N8/100</f>
        <v>0.1754118526741853</v>
      </c>
    </row>
    <row r="19" spans="1:10" s="1" customFormat="1" ht="15" customHeight="1" x14ac:dyDescent="0.2">
      <c r="A19" s="490"/>
      <c r="B19" s="18" t="s">
        <v>27</v>
      </c>
      <c r="C19" s="19">
        <f>'[4]F 4 TRI _ Granulo'!K6</f>
        <v>2.5894308943089435</v>
      </c>
      <c r="D19" s="20">
        <f>'[4]F 4 TRI _ Granulo'!H6</f>
        <v>0.69</v>
      </c>
      <c r="E19" s="20">
        <f>'[4]F 4 TRI _ Granulo'!E6</f>
        <v>0</v>
      </c>
      <c r="F19" s="20">
        <f>SUM(C19:E19)</f>
        <v>3.2794308943089434</v>
      </c>
      <c r="G19" s="21">
        <f t="shared" si="0"/>
        <v>4.3376551090494896E-2</v>
      </c>
      <c r="H19" s="21">
        <f>G19*J18/I18</f>
        <v>9.6405535892833363E-2</v>
      </c>
      <c r="I19" s="484"/>
      <c r="J19" s="484"/>
    </row>
    <row r="20" spans="1:10" s="1" customFormat="1" ht="15" customHeight="1" x14ac:dyDescent="0.2">
      <c r="A20" s="490"/>
      <c r="B20" s="18" t="s">
        <v>28</v>
      </c>
      <c r="C20" s="19">
        <f>'[4]F 4 TRI _ Granulo'!K7</f>
        <v>0</v>
      </c>
      <c r="D20" s="20">
        <f>'[4]F 4 TRI _ Granulo'!H7</f>
        <v>0</v>
      </c>
      <c r="E20" s="20">
        <f>'[4]F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484"/>
      <c r="J20" s="484"/>
    </row>
    <row r="21" spans="1:10" s="1" customFormat="1" ht="15" customHeight="1" x14ac:dyDescent="0.2">
      <c r="A21" s="490"/>
      <c r="B21" s="18" t="s">
        <v>29</v>
      </c>
      <c r="C21" s="19">
        <f>'[4]F 4 TRI _ Granulo'!K8</f>
        <v>0</v>
      </c>
      <c r="D21" s="20">
        <f>'[4]F 4 TRI _ Granulo'!H8</f>
        <v>9.000000000000008E-2</v>
      </c>
      <c r="E21" s="20">
        <f>'[4]F 4 TRI _ Granulo'!E8</f>
        <v>0</v>
      </c>
      <c r="F21" s="20">
        <f t="shared" si="1"/>
        <v>9.000000000000008E-2</v>
      </c>
      <c r="G21" s="21">
        <f t="shared" si="0"/>
        <v>1.1904167899739169E-3</v>
      </c>
      <c r="H21" s="21">
        <f>G21*J18/I18</f>
        <v>2.6457329061002704E-3</v>
      </c>
      <c r="I21" s="484"/>
      <c r="J21" s="484"/>
    </row>
    <row r="22" spans="1:10" s="1" customFormat="1" ht="15" customHeight="1" x14ac:dyDescent="0.2">
      <c r="A22" s="491"/>
      <c r="B22" s="18" t="s">
        <v>30</v>
      </c>
      <c r="C22" s="19">
        <f>'[4]F 4 TRI _ Granulo'!K9</f>
        <v>0</v>
      </c>
      <c r="D22" s="20">
        <f>'[4]F 4 TRI _ Granulo'!H9</f>
        <v>1.0000000000000009E-2</v>
      </c>
      <c r="E22" s="20">
        <f>'[4]F 4 TRI _ Granulo'!E9</f>
        <v>0</v>
      </c>
      <c r="F22" s="20">
        <f t="shared" si="1"/>
        <v>1.0000000000000009E-2</v>
      </c>
      <c r="G22" s="21">
        <f t="shared" si="0"/>
        <v>1.3226853221932411E-4</v>
      </c>
      <c r="H22" s="21">
        <f>G22*J18/I18</f>
        <v>2.9397032290003007E-4</v>
      </c>
      <c r="I22" s="484"/>
      <c r="J22" s="484"/>
    </row>
    <row r="23" spans="1:10" s="1" customFormat="1" ht="15" customHeight="1" x14ac:dyDescent="0.2">
      <c r="A23" s="485" t="s">
        <v>31</v>
      </c>
      <c r="B23" s="18" t="s">
        <v>32</v>
      </c>
      <c r="C23" s="19">
        <f>'[4]F 4 TRI _ Granulo'!K10</f>
        <v>1.4056910569105703</v>
      </c>
      <c r="D23" s="20">
        <f>'[4]F 4 TRI _ Granulo'!H10</f>
        <v>0.69</v>
      </c>
      <c r="E23" s="20">
        <f>'[4]F 4 TRI _ Granulo'!E10</f>
        <v>0.08</v>
      </c>
      <c r="F23" s="20">
        <f t="shared" si="1"/>
        <v>2.1756910569105701</v>
      </c>
      <c r="G23" s="21">
        <f t="shared" si="0"/>
        <v>2.877754626602708E-2</v>
      </c>
      <c r="H23" s="21">
        <f>'[4]Calcul sous cat &gt;20'!N32/100</f>
        <v>2.6661748889675704E-2</v>
      </c>
      <c r="I23" s="488">
        <f>G23+G24+G25+G26+G27</f>
        <v>0.11405956428379709</v>
      </c>
      <c r="J23" s="488">
        <f>'[4]Calcul sous cat &gt;20'!N9/100</f>
        <v>0.10372786498144217</v>
      </c>
    </row>
    <row r="24" spans="1:10" s="1" customFormat="1" ht="15" customHeight="1" x14ac:dyDescent="0.2">
      <c r="A24" s="486"/>
      <c r="B24" s="18" t="s">
        <v>33</v>
      </c>
      <c r="C24" s="19">
        <f>'[4]F 4 TRI _ Granulo'!K11</f>
        <v>7.3983739837398435E-2</v>
      </c>
      <c r="D24" s="20">
        <f>'[4]F 4 TRI _ Granulo'!H11</f>
        <v>2.0900000000000003</v>
      </c>
      <c r="E24" s="20">
        <f>'[4]F 4 TRI _ Granulo'!E11</f>
        <v>0</v>
      </c>
      <c r="F24" s="20">
        <f t="shared" si="1"/>
        <v>2.1639837398373989</v>
      </c>
      <c r="G24" s="21">
        <f t="shared" si="0"/>
        <v>2.8622695301477621E-2</v>
      </c>
      <c r="H24" s="21">
        <f>'[4]Calcul sous cat &gt;20'!N33/100</f>
        <v>2.5623678944832921E-2</v>
      </c>
      <c r="I24" s="488"/>
      <c r="J24" s="488"/>
    </row>
    <row r="25" spans="1:10" s="1" customFormat="1" ht="15" customHeight="1" x14ac:dyDescent="0.2">
      <c r="A25" s="486"/>
      <c r="B25" s="18" t="s">
        <v>34</v>
      </c>
      <c r="C25" s="19">
        <f>'[4]F 4 TRI _ Granulo'!K12</f>
        <v>0.36991869918699222</v>
      </c>
      <c r="D25" s="20">
        <f>'[4]F 4 TRI _ Granulo'!H12</f>
        <v>0.79</v>
      </c>
      <c r="E25" s="20">
        <f>'[4]F 4 TRI _ Granulo'!E12</f>
        <v>0</v>
      </c>
      <c r="F25" s="20">
        <f t="shared" si="1"/>
        <v>1.1599186991869923</v>
      </c>
      <c r="G25" s="21">
        <f t="shared" si="0"/>
        <v>1.5342074383521106E-2</v>
      </c>
      <c r="H25" s="21">
        <f>'[4]Calcul sous cat &gt;20'!N34/100</f>
        <v>1.3734569166545111E-2</v>
      </c>
      <c r="I25" s="488"/>
      <c r="J25" s="488"/>
    </row>
    <row r="26" spans="1:10" s="1" customFormat="1" ht="15" customHeight="1" x14ac:dyDescent="0.2">
      <c r="A26" s="486"/>
      <c r="B26" s="18" t="s">
        <v>35</v>
      </c>
      <c r="C26" s="19">
        <f>'[4]F 4 TRI _ Granulo'!K13</f>
        <v>0.8138211382113828</v>
      </c>
      <c r="D26" s="20">
        <f>'[4]F 4 TRI _ Granulo'!H13</f>
        <v>0.91000000000000014</v>
      </c>
      <c r="E26" s="20">
        <f>'[4]F 4 TRI _ Granulo'!E13</f>
        <v>0</v>
      </c>
      <c r="F26" s="20">
        <f t="shared" si="1"/>
        <v>1.7238211382113828</v>
      </c>
      <c r="G26" s="21">
        <f t="shared" si="0"/>
        <v>2.2800729175986405E-2</v>
      </c>
      <c r="H26" s="21">
        <f>'[4]Calcul sous cat &gt;20'!N35/100</f>
        <v>2.0612644913490682E-2</v>
      </c>
      <c r="I26" s="488"/>
      <c r="J26" s="488"/>
    </row>
    <row r="27" spans="1:10" s="1" customFormat="1" ht="15" customHeight="1" x14ac:dyDescent="0.2">
      <c r="A27" s="487"/>
      <c r="B27" s="18" t="s">
        <v>36</v>
      </c>
      <c r="C27" s="19">
        <f>'[4]F 4 TRI _ Granulo'!K14</f>
        <v>0.36991869918699222</v>
      </c>
      <c r="D27" s="20">
        <f>'[4]F 4 TRI _ Granulo'!H14</f>
        <v>1.0300000000000002</v>
      </c>
      <c r="E27" s="20">
        <f>'[4]F 4 TRI _ Granulo'!E14</f>
        <v>0</v>
      </c>
      <c r="F27" s="20">
        <f t="shared" si="1"/>
        <v>1.3999186991869925</v>
      </c>
      <c r="G27" s="21">
        <f t="shared" si="0"/>
        <v>1.8516519156784886E-2</v>
      </c>
      <c r="H27" s="21">
        <f>'[4]Calcul sous cat &gt;20'!N36/100</f>
        <v>1.709522306689774E-2</v>
      </c>
      <c r="I27" s="488"/>
      <c r="J27" s="488"/>
    </row>
    <row r="28" spans="1:10" s="1" customFormat="1" ht="15" customHeight="1" x14ac:dyDescent="0.2">
      <c r="A28" s="485" t="s">
        <v>37</v>
      </c>
      <c r="B28" s="18" t="s">
        <v>38</v>
      </c>
      <c r="C28" s="19">
        <f>'[4]F 4 TRI _ Granulo'!K15</f>
        <v>2.1455284552845533</v>
      </c>
      <c r="D28" s="20">
        <f>'[4]F 4 TRI _ Granulo'!H15</f>
        <v>2.7600000000000002</v>
      </c>
      <c r="E28" s="20">
        <f>'[4]F 4 TRI _ Granulo'!E15</f>
        <v>0</v>
      </c>
      <c r="F28" s="20">
        <f t="shared" si="1"/>
        <v>4.9055284552845535</v>
      </c>
      <c r="G28" s="21">
        <f t="shared" si="0"/>
        <v>6.4884704854061559E-2</v>
      </c>
      <c r="H28" s="21">
        <f>'[4]Calcul sous cat &gt;20'!N37/100</f>
        <v>5.8998617248105949E-2</v>
      </c>
      <c r="I28" s="488">
        <f>G28+G29+G30</f>
        <v>9.1126566575591345E-2</v>
      </c>
      <c r="J28" s="488">
        <f>'[4]Calcul sous cat &gt;20'!N10/100</f>
        <v>8.2883580402690671E-2</v>
      </c>
    </row>
    <row r="29" spans="1:10" s="1" customFormat="1" ht="15" customHeight="1" x14ac:dyDescent="0.2">
      <c r="A29" s="486"/>
      <c r="B29" s="18" t="s">
        <v>39</v>
      </c>
      <c r="C29" s="19">
        <f>'[4]F 4 TRI _ Granulo'!K16</f>
        <v>7.3983739837398435E-2</v>
      </c>
      <c r="D29" s="20">
        <f>'[4]F 4 TRI _ Granulo'!H16</f>
        <v>1.5900000000000003</v>
      </c>
      <c r="E29" s="20">
        <f>'[4]F 4 TRI _ Granulo'!E16</f>
        <v>0.32</v>
      </c>
      <c r="F29" s="20">
        <f t="shared" si="1"/>
        <v>1.9839837398373987</v>
      </c>
      <c r="G29" s="21">
        <f t="shared" si="0"/>
        <v>2.6241861721529786E-2</v>
      </c>
      <c r="H29" s="21">
        <f>'[4]Calcul sous cat &gt;20'!N38/100</f>
        <v>2.3884963154584729E-2</v>
      </c>
      <c r="I29" s="488"/>
      <c r="J29" s="488"/>
    </row>
    <row r="30" spans="1:10" s="1" customFormat="1" ht="15" customHeight="1" x14ac:dyDescent="0.2">
      <c r="A30" s="487"/>
      <c r="B30" s="18" t="s">
        <v>40</v>
      </c>
      <c r="C30" s="19">
        <f>'[4]F 4 TRI _ Granulo'!K17</f>
        <v>0</v>
      </c>
      <c r="D30" s="20">
        <f>'[4]F 4 TRI _ Granulo'!H17</f>
        <v>0</v>
      </c>
      <c r="E30" s="20">
        <f>'[4]F 4 TRI _ Granulo'!E17</f>
        <v>0</v>
      </c>
      <c r="F30" s="20">
        <f t="shared" si="1"/>
        <v>0</v>
      </c>
      <c r="G30" s="21">
        <f t="shared" si="0"/>
        <v>0</v>
      </c>
      <c r="H30" s="21">
        <f>'[4]Calcul sous cat &gt;20'!N39/100</f>
        <v>0</v>
      </c>
      <c r="I30" s="488"/>
      <c r="J30" s="488"/>
    </row>
    <row r="31" spans="1:10" s="1" customFormat="1" ht="15" customHeight="1" x14ac:dyDescent="0.2">
      <c r="A31" s="492" t="s">
        <v>41</v>
      </c>
      <c r="B31" s="18" t="s">
        <v>42</v>
      </c>
      <c r="C31" s="19">
        <f>'[4]F 4 TRI _ Granulo'!K18</f>
        <v>0.51788617886178911</v>
      </c>
      <c r="D31" s="20">
        <f>'[4]F 4 TRI _ Granulo'!H18</f>
        <v>0.39800000000000008</v>
      </c>
      <c r="E31" s="20">
        <f>'[4]F 4 TRI _ Granulo'!E18</f>
        <v>0</v>
      </c>
      <c r="F31" s="20">
        <f t="shared" si="1"/>
        <v>0.91588617886178914</v>
      </c>
      <c r="G31" s="21">
        <f t="shared" si="0"/>
        <v>1.2114292055801409E-2</v>
      </c>
      <c r="H31" s="249">
        <f>G31*J31/I31</f>
        <v>1.3867413912958097E-2</v>
      </c>
      <c r="I31" s="495">
        <f>G31+G32+G33+G34</f>
        <v>2.1662359515763837E-2</v>
      </c>
      <c r="J31" s="495">
        <f>'[4]Calcul sous cat &gt;20'!N11/100</f>
        <v>2.4797231596587171E-2</v>
      </c>
    </row>
    <row r="32" spans="1:10" s="1" customFormat="1" ht="15" customHeight="1" x14ac:dyDescent="0.2">
      <c r="A32" s="493"/>
      <c r="B32" s="18" t="s">
        <v>43</v>
      </c>
      <c r="C32" s="19">
        <f>'[4]F 4 TRI _ Granulo'!K19</f>
        <v>0.36991869918699222</v>
      </c>
      <c r="D32" s="20">
        <f>'[4]F 4 TRI _ Granulo'!H19</f>
        <v>0.13000000000000012</v>
      </c>
      <c r="E32" s="20">
        <f>'[4]F 4 TRI _ Granulo'!E19</f>
        <v>0</v>
      </c>
      <c r="F32" s="20">
        <f t="shared" si="1"/>
        <v>0.49991869918699233</v>
      </c>
      <c r="G32" s="21">
        <f t="shared" si="0"/>
        <v>6.6123512570457231E-3</v>
      </c>
      <c r="H32" s="249">
        <f>G32*J31/I31</f>
        <v>7.5692588057929026E-3</v>
      </c>
      <c r="I32" s="496"/>
      <c r="J32" s="496"/>
    </row>
    <row r="33" spans="1:10" s="1" customFormat="1" ht="15" customHeight="1" x14ac:dyDescent="0.2">
      <c r="A33" s="493"/>
      <c r="B33" s="18" t="s">
        <v>44</v>
      </c>
      <c r="C33" s="19">
        <f>'[4]F 4 TRI _ Granulo'!K20</f>
        <v>0.22195121951219532</v>
      </c>
      <c r="D33" s="20">
        <f>'[4]F 4 TRI _ Granulo'!H20</f>
        <v>0</v>
      </c>
      <c r="E33" s="20">
        <f>'[4]F 4 TRI _ Granulo'!E20</f>
        <v>0</v>
      </c>
      <c r="F33" s="20">
        <f t="shared" si="1"/>
        <v>0.22195121951219532</v>
      </c>
      <c r="G33" s="21">
        <f t="shared" si="0"/>
        <v>2.9357162029167057E-3</v>
      </c>
      <c r="H33" s="249">
        <f>G33*J31/I31</f>
        <v>3.3605588778361723E-3</v>
      </c>
      <c r="I33" s="496"/>
      <c r="J33" s="496"/>
    </row>
    <row r="34" spans="1:10" s="1" customFormat="1" ht="15" customHeight="1" x14ac:dyDescent="0.2">
      <c r="A34" s="494"/>
      <c r="B34" s="18" t="s">
        <v>120</v>
      </c>
      <c r="C34" s="19">
        <f>'[4]F 4 TRI _ Granulo'!K21</f>
        <v>0</v>
      </c>
      <c r="D34" s="20">
        <f>'[4]F 4 TRI _ Granulo'!H21</f>
        <v>0</v>
      </c>
      <c r="E34" s="20">
        <f>'[4]F 4 TRI _ Granulo'!E21</f>
        <v>0</v>
      </c>
      <c r="F34" s="20">
        <f t="shared" si="1"/>
        <v>0</v>
      </c>
      <c r="G34" s="21">
        <f t="shared" si="0"/>
        <v>0</v>
      </c>
      <c r="H34" s="249">
        <f>G34*J31/I31</f>
        <v>0</v>
      </c>
      <c r="I34" s="497"/>
      <c r="J34" s="497"/>
    </row>
    <row r="35" spans="1:10" s="1" customFormat="1" ht="15" customHeight="1" x14ac:dyDescent="0.2">
      <c r="A35" s="244" t="s">
        <v>45</v>
      </c>
      <c r="B35" s="18" t="s">
        <v>46</v>
      </c>
      <c r="C35" s="19">
        <f>'[4]F 4 TRI _ Granulo'!K22</f>
        <v>0.36991869918699222</v>
      </c>
      <c r="D35" s="20">
        <f>'[4]F 4 TRI _ Granulo'!H22</f>
        <v>0.99000000000000021</v>
      </c>
      <c r="E35" s="20">
        <f>'[4]F 4 TRI _ Granulo'!E22</f>
        <v>0</v>
      </c>
      <c r="F35" s="20">
        <f t="shared" si="1"/>
        <v>1.3599186991869925</v>
      </c>
      <c r="G35" s="21">
        <f t="shared" si="0"/>
        <v>1.7987445027907587E-2</v>
      </c>
      <c r="H35" s="21">
        <f>'[4]Calcul sous cat &gt;20'!N43/100</f>
        <v>1.6345055311315148E-2</v>
      </c>
      <c r="I35" s="245">
        <f>G35</f>
        <v>1.7987445027907587E-2</v>
      </c>
      <c r="J35" s="245">
        <f>'[4]Calcul sous cat &gt;20'!N12/100</f>
        <v>1.6345055311315148E-2</v>
      </c>
    </row>
    <row r="36" spans="1:10" s="1" customFormat="1" ht="15" customHeight="1" x14ac:dyDescent="0.2">
      <c r="A36" s="485" t="s">
        <v>47</v>
      </c>
      <c r="B36" s="18" t="s">
        <v>48</v>
      </c>
      <c r="C36" s="19">
        <f>'[4]F 4 TRI _ Granulo'!K23</f>
        <v>0.96178861788617964</v>
      </c>
      <c r="D36" s="20">
        <f>'[4]F 4 TRI _ Granulo'!H23</f>
        <v>0.85000000000000009</v>
      </c>
      <c r="E36" s="20">
        <f>'[4]F 4 TRI _ Granulo'!E23</f>
        <v>0</v>
      </c>
      <c r="F36" s="20">
        <f t="shared" si="1"/>
        <v>1.8117886178861797</v>
      </c>
      <c r="G36" s="21">
        <f t="shared" si="0"/>
        <v>2.3964262117948262E-2</v>
      </c>
      <c r="H36" s="21">
        <f>'[4]Calcul sous cat &gt;20'!N44/100</f>
        <v>2.2697914385538077E-2</v>
      </c>
      <c r="I36" s="488">
        <f>G36+G37</f>
        <v>0.11224974363562533</v>
      </c>
      <c r="J36" s="488">
        <f>'[4]Calcul sous cat &gt;20'!N13/100</f>
        <v>0.10496873330481088</v>
      </c>
    </row>
    <row r="37" spans="1:10" s="1" customFormat="1" ht="15" customHeight="1" x14ac:dyDescent="0.2">
      <c r="A37" s="487"/>
      <c r="B37" s="18" t="s">
        <v>49</v>
      </c>
      <c r="C37" s="19">
        <f>'[4]F 4 TRI _ Granulo'!K24</f>
        <v>5.8447154471544716</v>
      </c>
      <c r="D37" s="20">
        <f>'[4]F 4 TRI _ Granulo'!H24</f>
        <v>0.83000000000000007</v>
      </c>
      <c r="E37" s="20">
        <f>'[4]F 4 TRI _ Granulo'!E24</f>
        <v>0</v>
      </c>
      <c r="F37" s="20">
        <f t="shared" si="1"/>
        <v>6.6747154471544716</v>
      </c>
      <c r="G37" s="21">
        <f t="shared" si="0"/>
        <v>8.8285481517677067E-2</v>
      </c>
      <c r="H37" s="21">
        <f>'[4]Calcul sous cat &gt;20'!N45/100</f>
        <v>8.227081891927282E-2</v>
      </c>
      <c r="I37" s="488"/>
      <c r="J37" s="488"/>
    </row>
    <row r="38" spans="1:10" s="1" customFormat="1" ht="15" customHeight="1" x14ac:dyDescent="0.2">
      <c r="A38" s="485" t="s">
        <v>50</v>
      </c>
      <c r="B38" s="18" t="s">
        <v>51</v>
      </c>
      <c r="C38" s="19">
        <f>'[4]F 4 TRI _ Granulo'!K25</f>
        <v>1.8495934959349594</v>
      </c>
      <c r="D38" s="20">
        <f>'[4]F 4 TRI _ Granulo'!H25</f>
        <v>5.1899999999999995</v>
      </c>
      <c r="E38" s="20">
        <f>'[4]F 4 TRI _ Granulo'!E25</f>
        <v>0</v>
      </c>
      <c r="F38" s="20">
        <f t="shared" si="1"/>
        <v>7.0395934959349589</v>
      </c>
      <c r="G38" s="21">
        <f t="shared" si="0"/>
        <v>9.3111669912801662E-2</v>
      </c>
      <c r="H38" s="21">
        <f>'[4]Calcul sous cat &gt;20'!N46/100</f>
        <v>9.758572330060479E-2</v>
      </c>
      <c r="I38" s="488">
        <f>G38+G39+G40+G41+G42</f>
        <v>0.22054971232131915</v>
      </c>
      <c r="J38" s="488">
        <f>'[4]Calcul sous cat &gt;20'!N14/100</f>
        <v>0.22611986751277766</v>
      </c>
    </row>
    <row r="39" spans="1:10" s="1" customFormat="1" ht="15" customHeight="1" x14ac:dyDescent="0.2">
      <c r="A39" s="486"/>
      <c r="B39" s="18" t="s">
        <v>52</v>
      </c>
      <c r="C39" s="19">
        <f>'[4]F 4 TRI _ Granulo'!K26</f>
        <v>0.8138211382113828</v>
      </c>
      <c r="D39" s="20">
        <f>'[4]F 4 TRI _ Granulo'!H26</f>
        <v>1.7800000000000002</v>
      </c>
      <c r="E39" s="20">
        <f>'[4]F 4 TRI _ Granulo'!E26</f>
        <v>0</v>
      </c>
      <c r="F39" s="20">
        <f t="shared" si="1"/>
        <v>2.5938211382113829</v>
      </c>
      <c r="G39" s="21">
        <f t="shared" si="0"/>
        <v>3.430809147906759E-2</v>
      </c>
      <c r="H39" s="21">
        <f>'[4]Calcul sous cat &gt;20'!N47/100</f>
        <v>3.2131625079982705E-2</v>
      </c>
      <c r="I39" s="488"/>
      <c r="J39" s="488"/>
    </row>
    <row r="40" spans="1:10" s="1" customFormat="1" ht="15" customHeight="1" x14ac:dyDescent="0.2">
      <c r="A40" s="486"/>
      <c r="B40" s="18" t="s">
        <v>53</v>
      </c>
      <c r="C40" s="19">
        <f>'[4]F 4 TRI _ Granulo'!K27</f>
        <v>0.36991869918699222</v>
      </c>
      <c r="D40" s="20">
        <f>'[4]F 4 TRI _ Granulo'!H27</f>
        <v>0.41000000000000014</v>
      </c>
      <c r="E40" s="20">
        <f>'[4]F 4 TRI _ Granulo'!E27</f>
        <v>0</v>
      </c>
      <c r="F40" s="20">
        <f t="shared" si="1"/>
        <v>0.77991869918699241</v>
      </c>
      <c r="G40" s="21">
        <f t="shared" si="0"/>
        <v>1.0315870159186795E-2</v>
      </c>
      <c r="H40" s="21">
        <f>'[4]Calcul sous cat &gt;20'!N48/100</f>
        <v>9.6595250202684783E-3</v>
      </c>
      <c r="I40" s="488"/>
      <c r="J40" s="488"/>
    </row>
    <row r="41" spans="1:10" s="1" customFormat="1" ht="15" customHeight="1" x14ac:dyDescent="0.2">
      <c r="A41" s="486"/>
      <c r="B41" s="18" t="s">
        <v>54</v>
      </c>
      <c r="C41" s="19">
        <f>'[4]F 4 TRI _ Granulo'!K28</f>
        <v>2.5894308943089435</v>
      </c>
      <c r="D41" s="20">
        <f>'[4]F 4 TRI _ Granulo'!H28</f>
        <v>1.3200000000000003</v>
      </c>
      <c r="E41" s="20">
        <f>'[4]F 4 TRI _ Granulo'!E28</f>
        <v>0</v>
      </c>
      <c r="F41" s="20">
        <f t="shared" si="1"/>
        <v>3.9094308943089437</v>
      </c>
      <c r="G41" s="21">
        <f t="shared" si="0"/>
        <v>5.170946862031231E-2</v>
      </c>
      <c r="H41" s="21">
        <f>'[4]Calcul sous cat &gt;20'!N49/100</f>
        <v>5.4160103454709903E-2</v>
      </c>
      <c r="I41" s="488"/>
      <c r="J41" s="488"/>
    </row>
    <row r="42" spans="1:10" s="1" customFormat="1" ht="27" customHeight="1" x14ac:dyDescent="0.2">
      <c r="A42" s="487"/>
      <c r="B42" s="18" t="s">
        <v>55</v>
      </c>
      <c r="C42" s="19">
        <f>'[4]F 4 TRI _ Granulo'!K29</f>
        <v>1.7016260162601626</v>
      </c>
      <c r="D42" s="20">
        <f>'[4]F 4 TRI _ Granulo'!H29</f>
        <v>0.5900000000000003</v>
      </c>
      <c r="E42" s="20">
        <f>'[4]F 4 TRI _ Granulo'!E29</f>
        <v>0.06</v>
      </c>
      <c r="F42" s="20">
        <f t="shared" si="1"/>
        <v>2.351626016260163</v>
      </c>
      <c r="G42" s="21">
        <f t="shared" si="0"/>
        <v>3.1104612149950788E-2</v>
      </c>
      <c r="H42" s="21">
        <f>'[4]Calcul sous cat &gt;20'!N50/100</f>
        <v>3.2582890657211802E-2</v>
      </c>
      <c r="I42" s="488"/>
      <c r="J42" s="488"/>
    </row>
    <row r="43" spans="1:10" s="1" customFormat="1" ht="26.25" customHeight="1" x14ac:dyDescent="0.2">
      <c r="A43" s="244" t="s">
        <v>56</v>
      </c>
      <c r="B43" s="18" t="s">
        <v>56</v>
      </c>
      <c r="C43" s="19">
        <f>'[4]F 4 TRI _ Granulo'!K30</f>
        <v>0.51788617886178911</v>
      </c>
      <c r="D43" s="20">
        <f>'[4]F 4 TRI _ Granulo'!H30</f>
        <v>1.6099999999999999</v>
      </c>
      <c r="E43" s="20">
        <f>'[4]F 4 TRI _ Granulo'!E30</f>
        <v>0</v>
      </c>
      <c r="F43" s="20">
        <f t="shared" si="1"/>
        <v>2.1278861788617891</v>
      </c>
      <c r="G43" s="21">
        <f t="shared" si="0"/>
        <v>2.8145238160783476E-2</v>
      </c>
      <c r="H43" s="21">
        <f>J43</f>
        <v>2.6118326220965039E-2</v>
      </c>
      <c r="I43" s="245">
        <f>G43</f>
        <v>2.8145238160783476E-2</v>
      </c>
      <c r="J43" s="245">
        <f>'[4]Calcul sous cat &gt;20'!N15/100</f>
        <v>2.6118326220965039E-2</v>
      </c>
    </row>
    <row r="44" spans="1:10" s="1" customFormat="1" ht="15" customHeight="1" x14ac:dyDescent="0.2">
      <c r="A44" s="485" t="s">
        <v>57</v>
      </c>
      <c r="B44" s="18" t="s">
        <v>58</v>
      </c>
      <c r="C44" s="19">
        <f>'[4]F 4 TRI _ Granulo'!K31</f>
        <v>1.9975609756097561</v>
      </c>
      <c r="D44" s="20">
        <f>'[4]F 4 TRI _ Granulo'!H31</f>
        <v>1.5500000000000003</v>
      </c>
      <c r="E44" s="20">
        <f>'[4]F 4 TRI _ Granulo'!E31</f>
        <v>0</v>
      </c>
      <c r="F44" s="20">
        <f t="shared" si="1"/>
        <v>3.5475609756097564</v>
      </c>
      <c r="G44" s="21">
        <f t="shared" si="0"/>
        <v>4.6923068320245551E-2</v>
      </c>
      <c r="H44" s="21">
        <f>G44*J44/I44</f>
        <v>4.2584173899716707E-2</v>
      </c>
      <c r="I44" s="488">
        <f>G44+G45</f>
        <v>8.6860637573038024E-2</v>
      </c>
      <c r="J44" s="488">
        <f>'[4]Calcul sous cat &gt;20'!N16/100</f>
        <v>7.8828785666912288E-2</v>
      </c>
    </row>
    <row r="45" spans="1:10" s="1" customFormat="1" ht="15" customHeight="1" x14ac:dyDescent="0.2">
      <c r="A45" s="487"/>
      <c r="B45" s="18" t="s">
        <v>59</v>
      </c>
      <c r="C45" s="19">
        <f>'[4]F 4 TRI _ Granulo'!K32</f>
        <v>2.5894308943089435</v>
      </c>
      <c r="D45" s="20">
        <f>'[4]F 4 TRI _ Granulo'!H32</f>
        <v>0.43000000000000016</v>
      </c>
      <c r="E45" s="20">
        <f>'[4]F 4 TRI _ Granulo'!E32</f>
        <v>0</v>
      </c>
      <c r="F45" s="20">
        <f t="shared" si="1"/>
        <v>3.0194308943089436</v>
      </c>
      <c r="G45" s="21">
        <f t="shared" si="0"/>
        <v>3.9937569252792474E-2</v>
      </c>
      <c r="H45" s="21">
        <f>G45*J44/I44</f>
        <v>3.6244611767195581E-2</v>
      </c>
      <c r="I45" s="488"/>
      <c r="J45" s="488"/>
    </row>
    <row r="46" spans="1:10" s="1" customFormat="1" ht="15" customHeight="1" x14ac:dyDescent="0.2">
      <c r="A46" s="485" t="s">
        <v>60</v>
      </c>
      <c r="B46" s="18" t="s">
        <v>61</v>
      </c>
      <c r="C46" s="19">
        <f>'[4]F 4 TRI _ Granulo'!K33</f>
        <v>0.36991869918699222</v>
      </c>
      <c r="D46" s="20">
        <f>'[4]F 4 TRI _ Granulo'!H33</f>
        <v>1.0900000000000003</v>
      </c>
      <c r="E46" s="20">
        <f>'[4]F 4 TRI _ Granulo'!E33</f>
        <v>0</v>
      </c>
      <c r="F46" s="20">
        <f t="shared" si="1"/>
        <v>1.4599186991869926</v>
      </c>
      <c r="G46" s="21">
        <f t="shared" si="0"/>
        <v>1.9310130350100829E-2</v>
      </c>
      <c r="H46" s="21">
        <f t="shared" ref="H46:H51" si="2">G46*$J$46/$I$46</f>
        <v>1.8095959459901952E-2</v>
      </c>
      <c r="I46" s="488">
        <f>G46+G47+G50+G51+G48+G49</f>
        <v>4.5496073667765549E-2</v>
      </c>
      <c r="J46" s="488">
        <f>'[4]Calcul sous cat &gt;20'!N17/100</f>
        <v>4.2635398609429852E-2</v>
      </c>
    </row>
    <row r="47" spans="1:10" s="1" customFormat="1" ht="15" customHeight="1" x14ac:dyDescent="0.2">
      <c r="A47" s="486"/>
      <c r="B47" s="18" t="s">
        <v>62</v>
      </c>
      <c r="C47" s="19">
        <f>'[4]F 4 TRI _ Granulo'!K34</f>
        <v>0.8138211382113828</v>
      </c>
      <c r="D47" s="20">
        <f>'[4]F 4 TRI _ Granulo'!H34</f>
        <v>3.0000000000000027E-2</v>
      </c>
      <c r="E47" s="20">
        <f>'[4]F 4 TRI _ Granulo'!E34</f>
        <v>0</v>
      </c>
      <c r="F47" s="20">
        <f t="shared" si="1"/>
        <v>0.84382113821138283</v>
      </c>
      <c r="G47" s="21">
        <f t="shared" si="0"/>
        <v>1.1161098340685892E-2</v>
      </c>
      <c r="H47" s="21">
        <f t="shared" si="2"/>
        <v>1.045931743800871E-2</v>
      </c>
      <c r="I47" s="488"/>
      <c r="J47" s="488"/>
    </row>
    <row r="48" spans="1:10" s="1" customFormat="1" ht="15" customHeight="1" x14ac:dyDescent="0.2">
      <c r="A48" s="486"/>
      <c r="B48" s="18" t="s">
        <v>63</v>
      </c>
      <c r="C48" s="19">
        <f>'[4]F 4 TRI _ Granulo'!K35</f>
        <v>0</v>
      </c>
      <c r="D48" s="20">
        <f>'[4]F 4 TRI _ Granulo'!H35</f>
        <v>0</v>
      </c>
      <c r="E48" s="20">
        <f>'[4]F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488"/>
      <c r="J48" s="488"/>
    </row>
    <row r="49" spans="1:10" s="1" customFormat="1" ht="15" customHeight="1" x14ac:dyDescent="0.2">
      <c r="A49" s="486"/>
      <c r="B49" s="18" t="s">
        <v>64</v>
      </c>
      <c r="C49" s="19">
        <f>'[4]F 4 TRI _ Granulo'!K36</f>
        <v>0.29593495934959374</v>
      </c>
      <c r="D49" s="20">
        <f>'[4]F 4 TRI _ Granulo'!H36</f>
        <v>0</v>
      </c>
      <c r="E49" s="20">
        <f>'[4]F 4 TRI _ Granulo'!E36</f>
        <v>0</v>
      </c>
      <c r="F49" s="20">
        <f t="shared" si="1"/>
        <v>0.29593495934959374</v>
      </c>
      <c r="G49" s="21">
        <f t="shared" si="0"/>
        <v>3.9142882705556076E-3</v>
      </c>
      <c r="H49" s="21">
        <f t="shared" si="2"/>
        <v>3.6681679809569042E-3</v>
      </c>
      <c r="I49" s="488"/>
      <c r="J49" s="488"/>
    </row>
    <row r="50" spans="1:10" s="1" customFormat="1" ht="15" customHeight="1" x14ac:dyDescent="0.2">
      <c r="A50" s="486"/>
      <c r="B50" s="18" t="s">
        <v>65</v>
      </c>
      <c r="C50" s="19">
        <f>'[4]F 4 TRI _ Granulo'!K37</f>
        <v>0</v>
      </c>
      <c r="D50" s="20">
        <f>'[4]F 4 TRI _ Granulo'!H37</f>
        <v>0.25</v>
      </c>
      <c r="E50" s="20">
        <f>'[4]F 4 TRI _ Granulo'!E37</f>
        <v>0</v>
      </c>
      <c r="F50" s="20">
        <f t="shared" si="1"/>
        <v>0.25</v>
      </c>
      <c r="G50" s="21">
        <f t="shared" si="0"/>
        <v>3.3067133054830995E-3</v>
      </c>
      <c r="H50" s="21">
        <f t="shared" si="2"/>
        <v>3.0987957531435359E-3</v>
      </c>
      <c r="I50" s="488"/>
      <c r="J50" s="488"/>
    </row>
    <row r="51" spans="1:10" s="1" customFormat="1" ht="15" customHeight="1" x14ac:dyDescent="0.2">
      <c r="A51" s="487"/>
      <c r="B51" s="18" t="s">
        <v>66</v>
      </c>
      <c r="C51" s="19">
        <f>'[4]F 4 TRI _ Granulo'!K38</f>
        <v>0</v>
      </c>
      <c r="D51" s="20">
        <f>'[4]F 4 TRI _ Granulo'!H38</f>
        <v>0.5900000000000003</v>
      </c>
      <c r="E51" s="20">
        <f>'[4]F 4 TRI _ Granulo'!E38</f>
        <v>0</v>
      </c>
      <c r="F51" s="20">
        <f t="shared" si="1"/>
        <v>0.5900000000000003</v>
      </c>
      <c r="G51" s="21">
        <f t="shared" si="0"/>
        <v>7.8038434009401192E-3</v>
      </c>
      <c r="H51" s="21">
        <f t="shared" si="2"/>
        <v>7.3131579774187491E-3</v>
      </c>
      <c r="I51" s="488"/>
      <c r="J51" s="488"/>
    </row>
    <row r="52" spans="1:10" s="1" customFormat="1" ht="15" customHeight="1" x14ac:dyDescent="0.2">
      <c r="A52" s="247" t="s">
        <v>67</v>
      </c>
      <c r="B52" s="18" t="s">
        <v>68</v>
      </c>
      <c r="C52" s="19">
        <f>'[4]F 4 TRI _ Granulo'!K39</f>
        <v>3.329268292682928</v>
      </c>
      <c r="D52" s="20">
        <f>'[4]F 4 TRI _ Granulo'!H39</f>
        <v>0.37000000000000011</v>
      </c>
      <c r="E52" s="20">
        <f>'[4]F 4 TRI _ Granulo'!E39</f>
        <v>0</v>
      </c>
      <c r="F52" s="20">
        <f t="shared" si="1"/>
        <v>3.6992682926829281</v>
      </c>
      <c r="G52" s="21">
        <f t="shared" si="0"/>
        <v>4.8929678735865553E-2</v>
      </c>
      <c r="H52" s="21">
        <f>J52</f>
        <v>5.0706089774172763E-2</v>
      </c>
      <c r="I52" s="248">
        <f>G52</f>
        <v>4.8929678735865553E-2</v>
      </c>
      <c r="J52" s="248">
        <f>'[4]Calcul sous cat &gt;20'!N18/100</f>
        <v>5.0706089774172763E-2</v>
      </c>
    </row>
    <row r="53" spans="1:10" s="1" customFormat="1" ht="15" customHeight="1" x14ac:dyDescent="0.2">
      <c r="A53" s="485" t="s">
        <v>69</v>
      </c>
      <c r="B53" s="18" t="s">
        <v>121</v>
      </c>
      <c r="C53" s="19">
        <f>'[4]F 4 TRI _ Granulo'!K40</f>
        <v>0</v>
      </c>
      <c r="D53" s="20">
        <f>'[4]F 4 TRI _ Granulo'!H40</f>
        <v>0</v>
      </c>
      <c r="E53" s="20">
        <f>'[4]F 4 TRI _ Granulo'!E40</f>
        <v>0</v>
      </c>
      <c r="F53" s="20">
        <f t="shared" si="1"/>
        <v>0</v>
      </c>
      <c r="G53" s="21">
        <f t="shared" si="0"/>
        <v>0</v>
      </c>
      <c r="H53" s="249">
        <f>G53*J53/I53</f>
        <v>0</v>
      </c>
      <c r="I53" s="488">
        <f>SUM(G53:G62)</f>
        <v>3.9142882705556076E-3</v>
      </c>
      <c r="J53" s="488">
        <f>'[4]Calcul sous cat &gt;20'!N19/100</f>
        <v>3.6273073974652159E-3</v>
      </c>
    </row>
    <row r="54" spans="1:10" s="1" customFormat="1" ht="15" customHeight="1" x14ac:dyDescent="0.2">
      <c r="A54" s="486"/>
      <c r="B54" s="18" t="s">
        <v>70</v>
      </c>
      <c r="C54" s="19">
        <f>'[4]F 4 TRI _ Granulo'!K41</f>
        <v>0</v>
      </c>
      <c r="D54" s="20">
        <f>'[4]F 4 TRI _ Granulo'!H41</f>
        <v>0</v>
      </c>
      <c r="E54" s="20">
        <f>'[4]F 4 TRI _ Granulo'!E41</f>
        <v>0</v>
      </c>
      <c r="F54" s="20">
        <f t="shared" si="1"/>
        <v>0</v>
      </c>
      <c r="G54" s="21">
        <f t="shared" si="0"/>
        <v>0</v>
      </c>
      <c r="H54" s="249">
        <f>G54*J53/I53</f>
        <v>0</v>
      </c>
      <c r="I54" s="488"/>
      <c r="J54" s="488"/>
    </row>
    <row r="55" spans="1:10" s="1" customFormat="1" ht="15" customHeight="1" x14ac:dyDescent="0.2">
      <c r="A55" s="486"/>
      <c r="B55" s="18" t="s">
        <v>71</v>
      </c>
      <c r="C55" s="19">
        <f>'[4]F 4 TRI _ Granulo'!K42</f>
        <v>0.29593495934959374</v>
      </c>
      <c r="D55" s="20">
        <f>'[4]F 4 TRI _ Granulo'!H42</f>
        <v>0</v>
      </c>
      <c r="E55" s="20">
        <f>'[4]F 4 TRI _ Granulo'!E42</f>
        <v>0</v>
      </c>
      <c r="F55" s="20">
        <f>SUM(C55:E55)</f>
        <v>0.29593495934959374</v>
      </c>
      <c r="G55" s="21">
        <f t="shared" si="0"/>
        <v>3.9142882705556076E-3</v>
      </c>
      <c r="H55" s="249">
        <f>G55*J53/I53</f>
        <v>3.6273073974652159E-3</v>
      </c>
      <c r="I55" s="488"/>
      <c r="J55" s="488"/>
    </row>
    <row r="56" spans="1:10" s="1" customFormat="1" ht="15" customHeight="1" x14ac:dyDescent="0.2">
      <c r="A56" s="486"/>
      <c r="B56" s="18" t="s">
        <v>72</v>
      </c>
      <c r="C56" s="19">
        <f>'[4]F 4 TRI _ Granulo'!K43</f>
        <v>0</v>
      </c>
      <c r="D56" s="20">
        <f>'[4]F 4 TRI _ Granulo'!H43</f>
        <v>0</v>
      </c>
      <c r="E56" s="20">
        <f>'[4]F 4 TRI _ Granulo'!E43</f>
        <v>0</v>
      </c>
      <c r="F56" s="20">
        <f t="shared" si="1"/>
        <v>0</v>
      </c>
      <c r="G56" s="21">
        <f>F56/$F$64</f>
        <v>0</v>
      </c>
      <c r="H56" s="249">
        <f>G56*J53/I53</f>
        <v>0</v>
      </c>
      <c r="I56" s="488"/>
      <c r="J56" s="488"/>
    </row>
    <row r="57" spans="1:10" s="1" customFormat="1" ht="17.25" customHeight="1" x14ac:dyDescent="0.2">
      <c r="A57" s="486"/>
      <c r="B57" s="18" t="s">
        <v>122</v>
      </c>
      <c r="C57" s="19">
        <f>'[4]F 4 TRI _ Granulo'!K44</f>
        <v>0</v>
      </c>
      <c r="D57" s="20">
        <f>'[4]F 4 TRI _ Granulo'!H44</f>
        <v>0</v>
      </c>
      <c r="E57" s="20">
        <f>'[4]F 4 TRI _ Granulo'!E44</f>
        <v>0</v>
      </c>
      <c r="F57" s="20">
        <f t="shared" si="1"/>
        <v>0</v>
      </c>
      <c r="G57" s="21">
        <f t="shared" ref="G57:G62" si="3">F57/$F$64</f>
        <v>0</v>
      </c>
      <c r="H57" s="249">
        <f>G57*J53/I53</f>
        <v>0</v>
      </c>
      <c r="I57" s="488"/>
      <c r="J57" s="488"/>
    </row>
    <row r="58" spans="1:10" s="1" customFormat="1" ht="17.25" customHeight="1" x14ac:dyDescent="0.2">
      <c r="A58" s="486"/>
      <c r="B58" s="18" t="s">
        <v>123</v>
      </c>
      <c r="C58" s="19">
        <f>'[4]F 4 TRI _ Granulo'!K45</f>
        <v>0</v>
      </c>
      <c r="D58" s="20">
        <f>'[4]F 4 TRI _ Granulo'!H45</f>
        <v>0</v>
      </c>
      <c r="E58" s="20">
        <f>'[4]F 4 TRI _ Granulo'!E45</f>
        <v>0</v>
      </c>
      <c r="F58" s="20">
        <f t="shared" si="1"/>
        <v>0</v>
      </c>
      <c r="G58" s="21">
        <f t="shared" si="3"/>
        <v>0</v>
      </c>
      <c r="H58" s="249">
        <f>G58*J53/I53</f>
        <v>0</v>
      </c>
      <c r="I58" s="488"/>
      <c r="J58" s="488"/>
    </row>
    <row r="59" spans="1:10" s="1" customFormat="1" ht="25.5" customHeight="1" x14ac:dyDescent="0.2">
      <c r="A59" s="486"/>
      <c r="B59" s="18" t="s">
        <v>124</v>
      </c>
      <c r="C59" s="19">
        <f>'[4]F 4 TRI _ Granulo'!K46</f>
        <v>0</v>
      </c>
      <c r="D59" s="20">
        <f>'[4]F 4 TRI _ Granulo'!H46</f>
        <v>0</v>
      </c>
      <c r="E59" s="20">
        <f>'[4]F 4 TRI _ Granulo'!E46</f>
        <v>0</v>
      </c>
      <c r="F59" s="20">
        <f t="shared" si="1"/>
        <v>0</v>
      </c>
      <c r="G59" s="21">
        <f t="shared" si="3"/>
        <v>0</v>
      </c>
      <c r="H59" s="249">
        <f>G59*J53/I53</f>
        <v>0</v>
      </c>
      <c r="I59" s="488"/>
      <c r="J59" s="488"/>
    </row>
    <row r="60" spans="1:10" ht="25.5" x14ac:dyDescent="0.25">
      <c r="A60" s="486"/>
      <c r="B60" s="18" t="s">
        <v>125</v>
      </c>
      <c r="C60" s="19">
        <f>'[4]F 4 TRI _ Granulo'!K47</f>
        <v>0</v>
      </c>
      <c r="D60" s="20">
        <f>'[4]F 4 TRI _ Granulo'!H47</f>
        <v>0</v>
      </c>
      <c r="E60" s="20">
        <f>'[4]F 4 TRI _ Granulo'!E47</f>
        <v>0</v>
      </c>
      <c r="F60" s="20">
        <f t="shared" si="1"/>
        <v>0</v>
      </c>
      <c r="G60" s="21">
        <f t="shared" si="3"/>
        <v>0</v>
      </c>
      <c r="H60" s="249">
        <f>G60*J53/I53</f>
        <v>0</v>
      </c>
      <c r="I60" s="488"/>
      <c r="J60" s="488"/>
    </row>
    <row r="61" spans="1:10" ht="38.25" x14ac:dyDescent="0.25">
      <c r="A61" s="486"/>
      <c r="B61" s="18" t="s">
        <v>126</v>
      </c>
      <c r="C61" s="19">
        <f>'[4]F 4 TRI _ Granulo'!K48</f>
        <v>0</v>
      </c>
      <c r="D61" s="20">
        <f>'[4]F 4 TRI _ Granulo'!H48</f>
        <v>0</v>
      </c>
      <c r="E61" s="20">
        <f>'[4]F 4 TRI _ Granulo'!E48</f>
        <v>0</v>
      </c>
      <c r="F61" s="20">
        <f t="shared" si="1"/>
        <v>0</v>
      </c>
      <c r="G61" s="21">
        <f t="shared" si="3"/>
        <v>0</v>
      </c>
      <c r="H61" s="249">
        <f>G61*J53/I53</f>
        <v>0</v>
      </c>
      <c r="I61" s="488"/>
      <c r="J61" s="488"/>
    </row>
    <row r="62" spans="1:10" ht="51" x14ac:dyDescent="0.25">
      <c r="A62" s="498"/>
      <c r="B62" s="18" t="s">
        <v>73</v>
      </c>
      <c r="C62" s="19">
        <f>'[4]F 4 TRI _ Granulo'!K49</f>
        <v>0</v>
      </c>
      <c r="D62" s="20">
        <f>'[4]F 4 TRI _ Granulo'!H49</f>
        <v>0</v>
      </c>
      <c r="E62" s="20">
        <f>'[4]F 4 TRI _ Granulo'!E49</f>
        <v>0</v>
      </c>
      <c r="F62" s="20">
        <f t="shared" si="1"/>
        <v>0</v>
      </c>
      <c r="G62" s="21">
        <f t="shared" si="3"/>
        <v>0</v>
      </c>
      <c r="H62" s="175">
        <f>G62*J53/I53</f>
        <v>0</v>
      </c>
      <c r="I62" s="488"/>
      <c r="J62" s="488"/>
    </row>
    <row r="63" spans="1:10" x14ac:dyDescent="0.25">
      <c r="A63" s="22" t="s">
        <v>74</v>
      </c>
      <c r="B63" s="23">
        <f>'[4]F 3 _ Criblage et Tri'!C27+'[4]F 3 _ Criblage et Tri'!D27</f>
        <v>7.6000000000000005</v>
      </c>
      <c r="C63" s="19">
        <f>'[4]F 4 TRI _ Granulo'!K50</f>
        <v>1.7756097560975626</v>
      </c>
      <c r="D63" s="20">
        <f>'[4]F 4 TRI _ Granulo'!H50</f>
        <v>0.45999999999999996</v>
      </c>
      <c r="E63" s="20">
        <f>'[4]F 4 TRI _ Granulo'!E50</f>
        <v>0</v>
      </c>
      <c r="F63" s="19">
        <f>SUM(B63:E63)</f>
        <v>9.8356097560975648</v>
      </c>
      <c r="G63" s="21">
        <f t="shared" si="0"/>
        <v>0.13009416659210882</v>
      </c>
      <c r="H63" s="21">
        <f>J63</f>
        <v>6.3829906547245685E-2</v>
      </c>
      <c r="I63" s="24">
        <f>G63</f>
        <v>0.13009416659210882</v>
      </c>
      <c r="J63" s="24">
        <f>'[4]Calcul sous cat &gt;20'!N20/100</f>
        <v>6.3829906547245685E-2</v>
      </c>
    </row>
    <row r="64" spans="1:10" x14ac:dyDescent="0.25">
      <c r="A64" s="25" t="s">
        <v>25</v>
      </c>
      <c r="B64" s="90">
        <f>B63</f>
        <v>7.6000000000000005</v>
      </c>
      <c r="C64" s="19">
        <f>SUM(C18:C63)</f>
        <v>37.435772357723593</v>
      </c>
      <c r="D64" s="19">
        <f>SUM(D18:D63)</f>
        <v>30.108000000000004</v>
      </c>
      <c r="E64" s="19">
        <f>SUM(E18:E63)</f>
        <v>0.46</v>
      </c>
      <c r="F64" s="19">
        <f>SUM(B64:E64)</f>
        <v>75.603772357723599</v>
      </c>
      <c r="G64" s="21">
        <f t="shared" si="0"/>
        <v>1</v>
      </c>
      <c r="H64" s="21">
        <f>SUM(H18:H63)</f>
        <v>0.99999999999999978</v>
      </c>
      <c r="I64" s="24">
        <f>SUM(I18:I63)</f>
        <v>1</v>
      </c>
      <c r="J64" s="24">
        <f>SUM(J18:J63)</f>
        <v>1</v>
      </c>
    </row>
    <row r="65" spans="1:10" ht="51.75" x14ac:dyDescent="0.25">
      <c r="A65" s="26" t="s">
        <v>75</v>
      </c>
      <c r="B65" s="235">
        <f>B64/$F$64</f>
        <v>0.10052408448668623</v>
      </c>
      <c r="C65" s="235">
        <f>C64/$F$64</f>
        <v>0.49515746622528412</v>
      </c>
      <c r="D65" s="235">
        <f>D64/$F$64</f>
        <v>0.39823409680594068</v>
      </c>
      <c r="E65" s="235">
        <f>E64/$F$64</f>
        <v>6.0843524820889039E-3</v>
      </c>
      <c r="F65" s="235">
        <f>F64/$F$64</f>
        <v>1</v>
      </c>
      <c r="G65" s="1"/>
      <c r="H65" s="1"/>
      <c r="I65" s="1"/>
      <c r="J65" s="1"/>
    </row>
  </sheetData>
  <mergeCells count="40">
    <mergeCell ref="I53:I62"/>
    <mergeCell ref="J53:J62"/>
    <mergeCell ref="A44:A45"/>
    <mergeCell ref="I44:I45"/>
    <mergeCell ref="J44:J45"/>
    <mergeCell ref="A46:A51"/>
    <mergeCell ref="I46:I51"/>
    <mergeCell ref="J46:J51"/>
    <mergeCell ref="A53:A62"/>
    <mergeCell ref="A36:A37"/>
    <mergeCell ref="I36:I37"/>
    <mergeCell ref="J36:J37"/>
    <mergeCell ref="A38:A42"/>
    <mergeCell ref="I38:I42"/>
    <mergeCell ref="J38:J42"/>
    <mergeCell ref="A28:A30"/>
    <mergeCell ref="I28:I30"/>
    <mergeCell ref="J28:J30"/>
    <mergeCell ref="A31:A34"/>
    <mergeCell ref="I31:I34"/>
    <mergeCell ref="J31:J34"/>
    <mergeCell ref="A18:A22"/>
    <mergeCell ref="I18:I22"/>
    <mergeCell ref="J18:J22"/>
    <mergeCell ref="A23:A27"/>
    <mergeCell ref="I23:I27"/>
    <mergeCell ref="J23:J27"/>
    <mergeCell ref="D12:F12"/>
    <mergeCell ref="A14:J14"/>
    <mergeCell ref="G16:G17"/>
    <mergeCell ref="H16:H17"/>
    <mergeCell ref="I16:I17"/>
    <mergeCell ref="J16:J17"/>
    <mergeCell ref="B2:F2"/>
    <mergeCell ref="B11:C11"/>
    <mergeCell ref="D11:F11"/>
    <mergeCell ref="B3:F3"/>
    <mergeCell ref="A7:J7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sqref="A1:J65"/>
    </sheetView>
  </sheetViews>
  <sheetFormatPr baseColWidth="10" defaultRowHeight="15" x14ac:dyDescent="0.25"/>
  <sheetData>
    <row r="1" spans="1:10" s="1" customFormat="1" ht="12.75" x14ac:dyDescent="0.2"/>
    <row r="2" spans="1:10" s="1" customFormat="1" ht="15.75" x14ac:dyDescent="0.25">
      <c r="A2" s="1" t="s">
        <v>0</v>
      </c>
      <c r="B2" s="476" t="str">
        <f>'[5]F 1 _ Echant et Séchage'!D5</f>
        <v>ROM P15 PB BAN</v>
      </c>
      <c r="C2" s="476"/>
      <c r="D2" s="476"/>
      <c r="E2" s="476"/>
      <c r="F2" s="476"/>
      <c r="G2" s="2"/>
      <c r="H2" s="2"/>
      <c r="I2" s="2"/>
      <c r="J2" s="2"/>
    </row>
    <row r="3" spans="1:10" s="1" customFormat="1" ht="12.75" x14ac:dyDescent="0.2">
      <c r="A3" s="1" t="s">
        <v>1</v>
      </c>
      <c r="B3" s="483" t="str">
        <f>'[5]F 1 _ Echant et Séchage'!D6</f>
        <v>Le bourget DG 293 HT</v>
      </c>
      <c r="C3" s="483"/>
      <c r="D3" s="483"/>
      <c r="E3" s="483"/>
      <c r="F3" s="483"/>
      <c r="G3" s="3"/>
      <c r="H3" s="3"/>
      <c r="I3" s="3"/>
      <c r="J3" s="3"/>
    </row>
    <row r="4" spans="1:10" s="1" customFormat="1" ht="12.75" x14ac:dyDescent="0.2">
      <c r="A4" s="1" t="s">
        <v>2</v>
      </c>
      <c r="B4" s="243"/>
      <c r="C4" s="243" t="str">
        <f>'[5]F 1 _ Echant et Séchage'!D8</f>
        <v>Romainville</v>
      </c>
      <c r="D4" s="243"/>
      <c r="E4" s="243"/>
      <c r="F4" s="243"/>
      <c r="G4" s="3"/>
      <c r="H4" s="3"/>
      <c r="I4" s="3"/>
      <c r="J4" s="3"/>
    </row>
    <row r="5" spans="1:10" s="1" customFormat="1" ht="12.75" x14ac:dyDescent="0.2">
      <c r="A5" s="1" t="s">
        <v>3</v>
      </c>
      <c r="B5" s="243"/>
      <c r="C5" s="243" t="str">
        <f>'[5]F 1 _ Echant et Séchage'!E15</f>
        <v>sec et ensoleillé</v>
      </c>
      <c r="D5" s="243"/>
      <c r="E5" s="243"/>
      <c r="F5" s="243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478" t="s">
        <v>4</v>
      </c>
      <c r="B7" s="478"/>
      <c r="C7" s="478"/>
      <c r="D7" s="478"/>
      <c r="E7" s="478"/>
      <c r="F7" s="478"/>
      <c r="G7" s="478"/>
      <c r="H7" s="478"/>
      <c r="I7" s="478"/>
      <c r="J7" s="478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'[5]F 1 _ Echant et Séchage'!B12</f>
        <v>42144</v>
      </c>
      <c r="D9" s="477" t="s">
        <v>6</v>
      </c>
      <c r="E9" s="477"/>
      <c r="F9" s="477"/>
      <c r="G9" s="6">
        <f>'[5]F 1 _ Echant et Séchage'!G19</f>
        <v>125.29999999999998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>
        <f>'[5]F 1 _ Echant et Séchage'!E12</f>
        <v>0.38541666666666669</v>
      </c>
      <c r="D10" s="477" t="s">
        <v>9</v>
      </c>
      <c r="E10" s="477"/>
      <c r="F10" s="477"/>
      <c r="G10" s="243">
        <f>'[5]F 1 _ Echant et Séchage'!H26</f>
        <v>0.6</v>
      </c>
      <c r="H10" s="243"/>
      <c r="I10" s="9"/>
      <c r="J10" s="1" t="s">
        <v>10</v>
      </c>
    </row>
    <row r="11" spans="1:10" s="1" customFormat="1" ht="12.75" x14ac:dyDescent="0.2">
      <c r="B11" s="477"/>
      <c r="C11" s="477"/>
      <c r="D11" s="477" t="s">
        <v>11</v>
      </c>
      <c r="E11" s="477"/>
      <c r="F11" s="477"/>
      <c r="G11" s="10">
        <f>G9/1000/G10</f>
        <v>0.20883333333333334</v>
      </c>
      <c r="H11" s="10"/>
      <c r="I11" s="3"/>
      <c r="J11" s="3" t="s">
        <v>12</v>
      </c>
    </row>
    <row r="12" spans="1:10" s="1" customFormat="1" ht="12.75" x14ac:dyDescent="0.2">
      <c r="B12" s="7"/>
      <c r="D12" s="477" t="s">
        <v>13</v>
      </c>
      <c r="E12" s="477"/>
      <c r="F12" s="477"/>
      <c r="G12" s="231">
        <f>'[5]F 1 _ Echant et Séchage'!D51</f>
        <v>0.4179569034317635</v>
      </c>
      <c r="H12" s="11"/>
      <c r="I12" s="11"/>
    </row>
    <row r="13" spans="1:10" s="1" customFormat="1" ht="12.75" x14ac:dyDescent="0.2">
      <c r="B13" s="12"/>
      <c r="G13" s="234"/>
      <c r="H13" s="234"/>
      <c r="I13" s="234"/>
    </row>
    <row r="14" spans="1:10" s="1" customFormat="1" ht="18.75" customHeight="1" x14ac:dyDescent="0.2">
      <c r="A14" s="478" t="s">
        <v>14</v>
      </c>
      <c r="B14" s="478"/>
      <c r="C14" s="478"/>
      <c r="D14" s="478"/>
      <c r="E14" s="478"/>
      <c r="F14" s="478"/>
      <c r="G14" s="478"/>
      <c r="H14" s="478"/>
      <c r="I14" s="478"/>
      <c r="J14" s="478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479" t="s">
        <v>16</v>
      </c>
      <c r="H16" s="481" t="s">
        <v>17</v>
      </c>
      <c r="I16" s="479" t="s">
        <v>18</v>
      </c>
      <c r="J16" s="481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0"/>
      <c r="H17" s="482"/>
      <c r="I17" s="480"/>
      <c r="J17" s="482"/>
    </row>
    <row r="18" spans="1:10" s="1" customFormat="1" ht="15" customHeight="1" x14ac:dyDescent="0.2">
      <c r="A18" s="489" t="s">
        <v>26</v>
      </c>
      <c r="B18" s="18" t="s">
        <v>119</v>
      </c>
      <c r="C18" s="19">
        <f>'[5]F 4 TRI _ Granulo'!K5</f>
        <v>4.571616541353384</v>
      </c>
      <c r="D18" s="20">
        <f>'[5]F 4 TRI _ Granulo'!H5</f>
        <v>0.37000000000000011</v>
      </c>
      <c r="E18" s="20">
        <f>'[5]F 4 TRI _ Granulo'!E5</f>
        <v>0</v>
      </c>
      <c r="F18" s="20">
        <f>SUM(C18:E18)</f>
        <v>4.9416165413533841</v>
      </c>
      <c r="G18" s="21">
        <f t="shared" ref="G18:G64" si="0">F18/$F$64</f>
        <v>6.7407145115331898E-2</v>
      </c>
      <c r="H18" s="21">
        <f>G18*J18/I18</f>
        <v>0.1365173676105492</v>
      </c>
      <c r="I18" s="484">
        <f>G18+G19+G20+G21+G22</f>
        <v>0.14538173596462234</v>
      </c>
      <c r="J18" s="484">
        <f>'[5]Calcul sous cat &gt;20'!N8/100</f>
        <v>0.29443661882704297</v>
      </c>
    </row>
    <row r="19" spans="1:10" s="1" customFormat="1" ht="15" customHeight="1" x14ac:dyDescent="0.2">
      <c r="A19" s="490"/>
      <c r="B19" s="18" t="s">
        <v>27</v>
      </c>
      <c r="C19" s="19">
        <f>'[5]F 4 TRI _ Granulo'!K6</f>
        <v>4.571616541353384</v>
      </c>
      <c r="D19" s="20">
        <f>'[5]F 4 TRI _ Granulo'!H6</f>
        <v>0.91000000000000014</v>
      </c>
      <c r="E19" s="20">
        <f>'[5]F 4 TRI _ Granulo'!E6</f>
        <v>0</v>
      </c>
      <c r="F19" s="20">
        <f>SUM(C19:E19)</f>
        <v>5.4816165413533842</v>
      </c>
      <c r="G19" s="21">
        <f t="shared" si="0"/>
        <v>7.4773127088573033E-2</v>
      </c>
      <c r="H19" s="21">
        <f>G19*J18/I18</f>
        <v>0.15143543701006329</v>
      </c>
      <c r="I19" s="484"/>
      <c r="J19" s="484"/>
    </row>
    <row r="20" spans="1:10" s="1" customFormat="1" ht="15" customHeight="1" x14ac:dyDescent="0.2">
      <c r="A20" s="490"/>
      <c r="B20" s="18" t="s">
        <v>28</v>
      </c>
      <c r="C20" s="19">
        <f>'[5]F 4 TRI _ Granulo'!K7</f>
        <v>0</v>
      </c>
      <c r="D20" s="20">
        <f>'[5]F 4 TRI _ Granulo'!H7</f>
        <v>0</v>
      </c>
      <c r="E20" s="20">
        <f>'[5]F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484"/>
      <c r="J20" s="484"/>
    </row>
    <row r="21" spans="1:10" s="1" customFormat="1" ht="15" customHeight="1" x14ac:dyDescent="0.2">
      <c r="A21" s="490"/>
      <c r="B21" s="18" t="s">
        <v>29</v>
      </c>
      <c r="C21" s="19">
        <f>'[5]F 4 TRI _ Granulo'!K8</f>
        <v>0.20469924812030096</v>
      </c>
      <c r="D21" s="20">
        <f>'[5]F 4 TRI _ Granulo'!H8</f>
        <v>3.0000000000000027E-2</v>
      </c>
      <c r="E21" s="20">
        <f>'[5]F 4 TRI _ Granulo'!E8</f>
        <v>0</v>
      </c>
      <c r="F21" s="20">
        <f t="shared" si="1"/>
        <v>0.23469924812030099</v>
      </c>
      <c r="G21" s="21">
        <f t="shared" si="0"/>
        <v>3.20146376071738E-3</v>
      </c>
      <c r="H21" s="21">
        <f>G21*J18/I18</f>
        <v>6.4838142064304206E-3</v>
      </c>
      <c r="I21" s="484"/>
      <c r="J21" s="484"/>
    </row>
    <row r="22" spans="1:10" s="1" customFormat="1" ht="15" customHeight="1" x14ac:dyDescent="0.2">
      <c r="A22" s="491"/>
      <c r="B22" s="18" t="s">
        <v>30</v>
      </c>
      <c r="C22" s="19">
        <f>'[5]F 4 TRI _ Granulo'!K9</f>
        <v>0</v>
      </c>
      <c r="D22" s="20">
        <f>'[5]F 4 TRI _ Granulo'!H9</f>
        <v>0</v>
      </c>
      <c r="E22" s="20">
        <f>'[5]F 4 TRI _ Granulo'!E9</f>
        <v>0</v>
      </c>
      <c r="F22" s="20">
        <f t="shared" si="1"/>
        <v>0</v>
      </c>
      <c r="G22" s="21">
        <f t="shared" si="0"/>
        <v>0</v>
      </c>
      <c r="H22" s="21">
        <f>G22*J18/I18</f>
        <v>0</v>
      </c>
      <c r="I22" s="484"/>
      <c r="J22" s="484"/>
    </row>
    <row r="23" spans="1:10" s="1" customFormat="1" ht="15" customHeight="1" x14ac:dyDescent="0.2">
      <c r="A23" s="485" t="s">
        <v>31</v>
      </c>
      <c r="B23" s="18" t="s">
        <v>32</v>
      </c>
      <c r="C23" s="19">
        <f>'[5]F 4 TRI _ Granulo'!K10</f>
        <v>0.47763157894736896</v>
      </c>
      <c r="D23" s="20">
        <f>'[5]F 4 TRI _ Granulo'!H10</f>
        <v>1.52</v>
      </c>
      <c r="E23" s="20">
        <f>'[5]F 4 TRI _ Granulo'!E10</f>
        <v>0</v>
      </c>
      <c r="F23" s="20">
        <f t="shared" si="1"/>
        <v>1.9976315789473689</v>
      </c>
      <c r="G23" s="21">
        <f t="shared" si="0"/>
        <v>2.7249107777228783E-2</v>
      </c>
      <c r="H23" s="21">
        <f>'[5]Calcul sous cat &gt;20'!N32/100</f>
        <v>2.2868795228833103E-2</v>
      </c>
      <c r="I23" s="488">
        <f>G23+G24+G25+G26+G27</f>
        <v>0.13112668396711766</v>
      </c>
      <c r="J23" s="488">
        <f>'[5]Calcul sous cat &gt;20'!N9/100</f>
        <v>0.10876510001299364</v>
      </c>
    </row>
    <row r="24" spans="1:10" s="1" customFormat="1" ht="15" customHeight="1" x14ac:dyDescent="0.2">
      <c r="A24" s="486"/>
      <c r="B24" s="18" t="s">
        <v>33</v>
      </c>
      <c r="C24" s="19">
        <f>'[5]F 4 TRI _ Granulo'!K11</f>
        <v>6.8233082706766993E-2</v>
      </c>
      <c r="D24" s="20">
        <f>'[5]F 4 TRI _ Granulo'!H11</f>
        <v>1.9300000000000002</v>
      </c>
      <c r="E24" s="20">
        <f>'[5]F 4 TRI _ Granulo'!E11</f>
        <v>0</v>
      </c>
      <c r="F24" s="20">
        <f t="shared" si="1"/>
        <v>1.9982330827067671</v>
      </c>
      <c r="G24" s="21">
        <f t="shared" si="0"/>
        <v>2.7257312713985384E-2</v>
      </c>
      <c r="H24" s="21">
        <f>'[5]Calcul sous cat &gt;20'!N33/100</f>
        <v>2.2105795288269375E-2</v>
      </c>
      <c r="I24" s="488"/>
      <c r="J24" s="488"/>
    </row>
    <row r="25" spans="1:10" s="1" customFormat="1" ht="15" customHeight="1" x14ac:dyDescent="0.2">
      <c r="A25" s="486"/>
      <c r="B25" s="18" t="s">
        <v>34</v>
      </c>
      <c r="C25" s="19">
        <f>'[5]F 4 TRI _ Granulo'!K12</f>
        <v>0.20469924812030096</v>
      </c>
      <c r="D25" s="20">
        <f>'[5]F 4 TRI _ Granulo'!H12</f>
        <v>0.55000000000000027</v>
      </c>
      <c r="E25" s="20">
        <f>'[5]F 4 TRI _ Granulo'!E12</f>
        <v>0</v>
      </c>
      <c r="F25" s="20">
        <f t="shared" si="1"/>
        <v>0.7546992481203012</v>
      </c>
      <c r="G25" s="21">
        <f t="shared" si="0"/>
        <v>1.0294631586801438E-2</v>
      </c>
      <c r="H25" s="21">
        <f>'[5]Calcul sous cat &gt;20'!N34/100</f>
        <v>8.3489895285686205E-3</v>
      </c>
      <c r="I25" s="488"/>
      <c r="J25" s="488"/>
    </row>
    <row r="26" spans="1:10" s="1" customFormat="1" ht="15" customHeight="1" x14ac:dyDescent="0.2">
      <c r="A26" s="486"/>
      <c r="B26" s="18" t="s">
        <v>35</v>
      </c>
      <c r="C26" s="19">
        <f>'[5]F 4 TRI _ Granulo'!K13</f>
        <v>6.8233082706766993E-2</v>
      </c>
      <c r="D26" s="20">
        <f>'[5]F 4 TRI _ Granulo'!H13</f>
        <v>7.0000000000000062E-2</v>
      </c>
      <c r="E26" s="20">
        <f>'[5]F 4 TRI _ Granulo'!E13</f>
        <v>0</v>
      </c>
      <c r="F26" s="20">
        <f t="shared" si="1"/>
        <v>0.13823308270676704</v>
      </c>
      <c r="G26" s="21">
        <f t="shared" si="0"/>
        <v>1.8855970283770309E-3</v>
      </c>
      <c r="H26" s="21">
        <f>'[5]Calcul sous cat &gt;20'!N35/100</f>
        <v>1.5442982509847455E-3</v>
      </c>
      <c r="I26" s="488"/>
      <c r="J26" s="488"/>
    </row>
    <row r="27" spans="1:10" s="1" customFormat="1" ht="15" customHeight="1" x14ac:dyDescent="0.2">
      <c r="A27" s="487"/>
      <c r="B27" s="18" t="s">
        <v>36</v>
      </c>
      <c r="C27" s="19">
        <f>'[5]F 4 TRI _ Granulo'!K14</f>
        <v>0.61409774436090303</v>
      </c>
      <c r="D27" s="20">
        <f>'[5]F 4 TRI _ Granulo'!H14</f>
        <v>0.29000000000000004</v>
      </c>
      <c r="E27" s="20">
        <f>'[5]F 4 TRI _ Granulo'!E14</f>
        <v>3.8200000000000003</v>
      </c>
      <c r="F27" s="20">
        <f t="shared" si="1"/>
        <v>4.7240977443609031</v>
      </c>
      <c r="G27" s="21">
        <f t="shared" si="0"/>
        <v>6.4440034860725026E-2</v>
      </c>
      <c r="H27" s="21">
        <f>'[5]Calcul sous cat &gt;20'!N36/100</f>
        <v>5.389722171633779E-2</v>
      </c>
      <c r="I27" s="488"/>
      <c r="J27" s="488"/>
    </row>
    <row r="28" spans="1:10" s="1" customFormat="1" ht="15" customHeight="1" x14ac:dyDescent="0.2">
      <c r="A28" s="485" t="s">
        <v>37</v>
      </c>
      <c r="B28" s="18" t="s">
        <v>38</v>
      </c>
      <c r="C28" s="19">
        <f>'[5]F 4 TRI _ Granulo'!K15</f>
        <v>1.0234962406015049</v>
      </c>
      <c r="D28" s="20">
        <f>'[5]F 4 TRI _ Granulo'!H15</f>
        <v>1.9200000000000004</v>
      </c>
      <c r="E28" s="20">
        <f>'[5]F 4 TRI _ Granulo'!E15</f>
        <v>0</v>
      </c>
      <c r="F28" s="20">
        <f t="shared" si="1"/>
        <v>2.9434962406015055</v>
      </c>
      <c r="G28" s="21">
        <f t="shared" si="0"/>
        <v>4.01513708269884E-2</v>
      </c>
      <c r="H28" s="21">
        <f>'[5]Calcul sous cat &gt;20'!N37/100</f>
        <v>3.3268024130253239E-2</v>
      </c>
      <c r="I28" s="488">
        <f>G28+G29+G30</f>
        <v>7.3908019069298642E-2</v>
      </c>
      <c r="J28" s="488">
        <f>'[5]Calcul sous cat &gt;20'!N10/100</f>
        <v>6.1311607458771358E-2</v>
      </c>
    </row>
    <row r="29" spans="1:10" s="1" customFormat="1" ht="15" customHeight="1" x14ac:dyDescent="0.2">
      <c r="A29" s="486"/>
      <c r="B29" s="18" t="s">
        <v>39</v>
      </c>
      <c r="C29" s="19">
        <f>'[5]F 4 TRI _ Granulo'!K16</f>
        <v>0</v>
      </c>
      <c r="D29" s="20">
        <f>'[5]F 4 TRI _ Granulo'!H16</f>
        <v>1.21</v>
      </c>
      <c r="E29" s="20">
        <f>'[5]F 4 TRI _ Granulo'!E16</f>
        <v>1.06</v>
      </c>
      <c r="F29" s="20">
        <f t="shared" si="1"/>
        <v>2.27</v>
      </c>
      <c r="G29" s="21">
        <f t="shared" si="0"/>
        <v>3.096440570232847E-2</v>
      </c>
      <c r="H29" s="21">
        <f>'[5]Calcul sous cat &gt;20'!N38/100</f>
        <v>2.5680811852795613E-2</v>
      </c>
      <c r="I29" s="488"/>
      <c r="J29" s="488"/>
    </row>
    <row r="30" spans="1:10" s="1" customFormat="1" ht="15" customHeight="1" x14ac:dyDescent="0.2">
      <c r="A30" s="487"/>
      <c r="B30" s="18" t="s">
        <v>40</v>
      </c>
      <c r="C30" s="19">
        <f>'[5]F 4 TRI _ Granulo'!K17</f>
        <v>0.20469924812030096</v>
      </c>
      <c r="D30" s="20">
        <f>'[5]F 4 TRI _ Granulo'!H17</f>
        <v>0</v>
      </c>
      <c r="E30" s="20">
        <f>'[5]F 4 TRI _ Granulo'!E17</f>
        <v>0</v>
      </c>
      <c r="F30" s="20">
        <f t="shared" si="1"/>
        <v>0.20469924812030096</v>
      </c>
      <c r="G30" s="21">
        <f t="shared" si="0"/>
        <v>2.792242539981761E-3</v>
      </c>
      <c r="H30" s="21">
        <f>'[5]Calcul sous cat &gt;20'!N39/100</f>
        <v>2.362771475722504E-3</v>
      </c>
      <c r="I30" s="488"/>
      <c r="J30" s="488"/>
    </row>
    <row r="31" spans="1:10" s="1" customFormat="1" ht="15" customHeight="1" x14ac:dyDescent="0.2">
      <c r="A31" s="492" t="s">
        <v>41</v>
      </c>
      <c r="B31" s="18" t="s">
        <v>42</v>
      </c>
      <c r="C31" s="19">
        <f>'[5]F 4 TRI _ Granulo'!K18</f>
        <v>0.34116541353383495</v>
      </c>
      <c r="D31" s="20">
        <f>'[5]F 4 TRI _ Granulo'!H18</f>
        <v>0.69</v>
      </c>
      <c r="E31" s="20">
        <f>'[5]F 4 TRI _ Granulo'!E18</f>
        <v>0</v>
      </c>
      <c r="F31" s="20">
        <f t="shared" si="1"/>
        <v>1.0311654135338348</v>
      </c>
      <c r="G31" s="21">
        <f t="shared" si="0"/>
        <v>1.4065825643555494E-2</v>
      </c>
      <c r="H31" s="249">
        <f>G31*J31/I31</f>
        <v>1.468719144906889E-2</v>
      </c>
      <c r="I31" s="495">
        <f>G31+G32+G33+G34</f>
        <v>2.4625066440757411E-2</v>
      </c>
      <c r="J31" s="495">
        <f>'[5]Calcul sous cat &gt;20'!N11/100</f>
        <v>2.5712892682354015E-2</v>
      </c>
    </row>
    <row r="32" spans="1:10" s="1" customFormat="1" ht="15" customHeight="1" x14ac:dyDescent="0.2">
      <c r="A32" s="493"/>
      <c r="B32" s="18" t="s">
        <v>43</v>
      </c>
      <c r="C32" s="19">
        <f>'[5]F 4 TRI _ Granulo'!K19</f>
        <v>0.61409774436090303</v>
      </c>
      <c r="D32" s="20">
        <f>'[5]F 4 TRI _ Granulo'!H19</f>
        <v>0.1100000000000001</v>
      </c>
      <c r="E32" s="20">
        <f>'[5]F 4 TRI _ Granulo'!E19</f>
        <v>0</v>
      </c>
      <c r="F32" s="20">
        <f t="shared" si="1"/>
        <v>0.72409774436090313</v>
      </c>
      <c r="G32" s="21">
        <f t="shared" si="0"/>
        <v>9.8772054293092201E-3</v>
      </c>
      <c r="H32" s="249">
        <f>G32*J31/I31</f>
        <v>1.0313536567155787E-2</v>
      </c>
      <c r="I32" s="496"/>
      <c r="J32" s="496"/>
    </row>
    <row r="33" spans="1:10" s="1" customFormat="1" ht="15" customHeight="1" x14ac:dyDescent="0.2">
      <c r="A33" s="493"/>
      <c r="B33" s="18" t="s">
        <v>44</v>
      </c>
      <c r="C33" s="19">
        <f>'[5]F 4 TRI _ Granulo'!K20</f>
        <v>0</v>
      </c>
      <c r="D33" s="20">
        <f>'[5]F 4 TRI _ Granulo'!H20</f>
        <v>0</v>
      </c>
      <c r="E33" s="20">
        <f>'[5]F 4 TRI _ Granulo'!E20</f>
        <v>0</v>
      </c>
      <c r="F33" s="20">
        <f t="shared" si="1"/>
        <v>0</v>
      </c>
      <c r="G33" s="21">
        <f t="shared" si="0"/>
        <v>0</v>
      </c>
      <c r="H33" s="249">
        <f>G33*J31/I31</f>
        <v>0</v>
      </c>
      <c r="I33" s="496"/>
      <c r="J33" s="496"/>
    </row>
    <row r="34" spans="1:10" s="1" customFormat="1" ht="15" customHeight="1" x14ac:dyDescent="0.2">
      <c r="A34" s="494"/>
      <c r="B34" s="18" t="s">
        <v>120</v>
      </c>
      <c r="C34" s="19">
        <f>'[5]F 4 TRI _ Granulo'!K21</f>
        <v>0</v>
      </c>
      <c r="D34" s="20">
        <f>'[5]F 4 TRI _ Granulo'!H21</f>
        <v>5.0000000000000044E-2</v>
      </c>
      <c r="E34" s="20">
        <f>'[5]F 4 TRI _ Granulo'!E21</f>
        <v>0</v>
      </c>
      <c r="F34" s="20">
        <f t="shared" si="1"/>
        <v>5.0000000000000044E-2</v>
      </c>
      <c r="G34" s="21">
        <f t="shared" si="0"/>
        <v>6.8203536789269818E-4</v>
      </c>
      <c r="H34" s="249">
        <f>G34*J31/I31</f>
        <v>7.121646661293388E-4</v>
      </c>
      <c r="I34" s="497"/>
      <c r="J34" s="497"/>
    </row>
    <row r="35" spans="1:10" s="1" customFormat="1" ht="15" customHeight="1" x14ac:dyDescent="0.2">
      <c r="A35" s="244" t="s">
        <v>45</v>
      </c>
      <c r="B35" s="18" t="s">
        <v>46</v>
      </c>
      <c r="C35" s="19">
        <f>'[5]F 4 TRI _ Granulo'!K22</f>
        <v>1.7058270676691734</v>
      </c>
      <c r="D35" s="20">
        <f>'[5]F 4 TRI _ Granulo'!H22</f>
        <v>1.4900000000000002</v>
      </c>
      <c r="E35" s="20">
        <f>'[5]F 4 TRI _ Granulo'!E22</f>
        <v>0</v>
      </c>
      <c r="F35" s="20">
        <f t="shared" si="1"/>
        <v>3.1958270676691738</v>
      </c>
      <c r="G35" s="21">
        <f t="shared" si="0"/>
        <v>4.3593341796383717E-2</v>
      </c>
      <c r="H35" s="21">
        <f>'[5]Calcul sous cat &gt;20'!N43/100</f>
        <v>3.6133755959963536E-2</v>
      </c>
      <c r="I35" s="245">
        <f>G35</f>
        <v>4.3593341796383717E-2</v>
      </c>
      <c r="J35" s="245">
        <f>'[5]Calcul sous cat &gt;20'!N12/100</f>
        <v>3.6133755959963536E-2</v>
      </c>
    </row>
    <row r="36" spans="1:10" s="1" customFormat="1" ht="15" customHeight="1" x14ac:dyDescent="0.2">
      <c r="A36" s="485" t="s">
        <v>47</v>
      </c>
      <c r="B36" s="18" t="s">
        <v>48</v>
      </c>
      <c r="C36" s="19">
        <f>'[5]F 4 TRI _ Granulo'!K23</f>
        <v>1.9787593984962413</v>
      </c>
      <c r="D36" s="20">
        <f>'[5]F 4 TRI _ Granulo'!H23</f>
        <v>0.19000000000000017</v>
      </c>
      <c r="E36" s="20">
        <f>'[5]F 4 TRI _ Granulo'!E23</f>
        <v>0</v>
      </c>
      <c r="F36" s="20">
        <f t="shared" si="1"/>
        <v>2.1687593984962414</v>
      </c>
      <c r="G36" s="21">
        <f t="shared" si="0"/>
        <v>2.958341228448259E-2</v>
      </c>
      <c r="H36" s="21">
        <f>'[5]Calcul sous cat &gt;20'!N44/100</f>
        <v>2.5486464105265384E-2</v>
      </c>
      <c r="I36" s="488">
        <f>G36+G37</f>
        <v>9.4358823935133798E-2</v>
      </c>
      <c r="J36" s="488">
        <f>'[5]Calcul sous cat &gt;20'!N13/100</f>
        <v>8.0413437281105893E-2</v>
      </c>
    </row>
    <row r="37" spans="1:10" s="1" customFormat="1" ht="15" customHeight="1" x14ac:dyDescent="0.2">
      <c r="A37" s="487"/>
      <c r="B37" s="18" t="s">
        <v>49</v>
      </c>
      <c r="C37" s="19">
        <f>'[5]F 4 TRI _ Granulo'!K24</f>
        <v>4.2986842105263161</v>
      </c>
      <c r="D37" s="20">
        <f>'[5]F 4 TRI _ Granulo'!H24</f>
        <v>0.45000000000000018</v>
      </c>
      <c r="E37" s="20">
        <f>'[5]F 4 TRI _ Granulo'!E24</f>
        <v>0</v>
      </c>
      <c r="F37" s="20">
        <f t="shared" si="1"/>
        <v>4.7486842105263163</v>
      </c>
      <c r="G37" s="21">
        <f t="shared" si="0"/>
        <v>6.4775411650651205E-2</v>
      </c>
      <c r="H37" s="21">
        <f>'[5]Calcul sous cat &gt;20'!N45/100</f>
        <v>5.4926973175840513E-2</v>
      </c>
      <c r="I37" s="488"/>
      <c r="J37" s="488"/>
    </row>
    <row r="38" spans="1:10" s="1" customFormat="1" ht="15" customHeight="1" x14ac:dyDescent="0.2">
      <c r="A38" s="485" t="s">
        <v>50</v>
      </c>
      <c r="B38" s="18" t="s">
        <v>51</v>
      </c>
      <c r="C38" s="19">
        <f>'[5]F 4 TRI _ Granulo'!K25</f>
        <v>1.1599624060150389</v>
      </c>
      <c r="D38" s="20">
        <f>'[5]F 4 TRI _ Granulo'!H25</f>
        <v>3.47</v>
      </c>
      <c r="E38" s="20">
        <f>'[5]F 4 TRI _ Granulo'!E25</f>
        <v>0</v>
      </c>
      <c r="F38" s="20">
        <f t="shared" si="1"/>
        <v>4.6299624060150393</v>
      </c>
      <c r="G38" s="21">
        <f t="shared" si="0"/>
        <v>6.3155962258316531E-2</v>
      </c>
      <c r="H38" s="21">
        <f>'[5]Calcul sous cat &gt;20'!N46/100</f>
        <v>6.094010556359928E-2</v>
      </c>
      <c r="I38" s="488">
        <f>G38+G39+G40+G41+G42</f>
        <v>0.13731218066450243</v>
      </c>
      <c r="J38" s="488">
        <f>'[5]Calcul sous cat &gt;20'!N14/100</f>
        <v>0.12841046358544048</v>
      </c>
    </row>
    <row r="39" spans="1:10" s="1" customFormat="1" ht="15" customHeight="1" x14ac:dyDescent="0.2">
      <c r="A39" s="486"/>
      <c r="B39" s="18" t="s">
        <v>52</v>
      </c>
      <c r="C39" s="19">
        <f>'[5]F 4 TRI _ Granulo'!K26</f>
        <v>0.61409774436090303</v>
      </c>
      <c r="D39" s="20">
        <f>'[5]F 4 TRI _ Granulo'!H26</f>
        <v>1.3199999999999998</v>
      </c>
      <c r="E39" s="20">
        <f>'[5]F 4 TRI _ Granulo'!E26</f>
        <v>0</v>
      </c>
      <c r="F39" s="20">
        <f t="shared" si="1"/>
        <v>1.9340977443609029</v>
      </c>
      <c r="G39" s="21">
        <f t="shared" si="0"/>
        <v>2.63824613323125E-2</v>
      </c>
      <c r="H39" s="21">
        <f>'[5]Calcul sous cat &gt;20'!N47/100</f>
        <v>2.2749510306038213E-2</v>
      </c>
      <c r="I39" s="488"/>
      <c r="J39" s="488"/>
    </row>
    <row r="40" spans="1:10" s="1" customFormat="1" ht="15" customHeight="1" x14ac:dyDescent="0.2">
      <c r="A40" s="486"/>
      <c r="B40" s="18" t="s">
        <v>53</v>
      </c>
      <c r="C40" s="19">
        <f>'[5]F 4 TRI _ Granulo'!K27</f>
        <v>0.47763157894736896</v>
      </c>
      <c r="D40" s="20">
        <f>'[5]F 4 TRI _ Granulo'!H27</f>
        <v>0.49000000000000021</v>
      </c>
      <c r="E40" s="20">
        <f>'[5]F 4 TRI _ Granulo'!E27</f>
        <v>0</v>
      </c>
      <c r="F40" s="20">
        <f t="shared" si="1"/>
        <v>0.96763157894736918</v>
      </c>
      <c r="G40" s="21">
        <f t="shared" si="0"/>
        <v>1.3199179198639216E-2</v>
      </c>
      <c r="H40" s="21">
        <f>'[5]Calcul sous cat &gt;20'!N48/100</f>
        <v>1.1379407808630891E-2</v>
      </c>
      <c r="I40" s="488"/>
      <c r="J40" s="488"/>
    </row>
    <row r="41" spans="1:10" s="1" customFormat="1" ht="15" customHeight="1" x14ac:dyDescent="0.2">
      <c r="A41" s="486"/>
      <c r="B41" s="18" t="s">
        <v>54</v>
      </c>
      <c r="C41" s="19">
        <f>'[5]F 4 TRI _ Granulo'!K28</f>
        <v>1.1599624060150389</v>
      </c>
      <c r="D41" s="20">
        <f>'[5]F 4 TRI _ Granulo'!H28</f>
        <v>1.1700000000000008</v>
      </c>
      <c r="E41" s="20">
        <f>'[5]F 4 TRI _ Granulo'!E28</f>
        <v>0</v>
      </c>
      <c r="F41" s="20">
        <f t="shared" si="1"/>
        <v>2.3299624060150395</v>
      </c>
      <c r="G41" s="21">
        <f t="shared" si="0"/>
        <v>3.1782335335252446E-2</v>
      </c>
      <c r="H41" s="21">
        <f>'[5]Calcul sous cat &gt;20'!N49/100</f>
        <v>3.0648477886768548E-2</v>
      </c>
      <c r="I41" s="488"/>
      <c r="J41" s="488"/>
    </row>
    <row r="42" spans="1:10" s="1" customFormat="1" ht="27" customHeight="1" x14ac:dyDescent="0.2">
      <c r="A42" s="487"/>
      <c r="B42" s="18" t="s">
        <v>55</v>
      </c>
      <c r="C42" s="19">
        <f>'[5]F 4 TRI _ Granulo'!K29</f>
        <v>0.20469924812030096</v>
      </c>
      <c r="D42" s="20">
        <f>'[5]F 4 TRI _ Granulo'!H29</f>
        <v>0</v>
      </c>
      <c r="E42" s="20">
        <f>'[5]F 4 TRI _ Granulo'!E29</f>
        <v>0</v>
      </c>
      <c r="F42" s="20">
        <f t="shared" si="1"/>
        <v>0.20469924812030096</v>
      </c>
      <c r="G42" s="21">
        <f t="shared" si="0"/>
        <v>2.792242539981761E-3</v>
      </c>
      <c r="H42" s="21">
        <f>'[5]Calcul sous cat &gt;20'!N50/100</f>
        <v>2.6929620204035444E-3</v>
      </c>
      <c r="I42" s="488"/>
      <c r="J42" s="488"/>
    </row>
    <row r="43" spans="1:10" s="1" customFormat="1" ht="26.25" customHeight="1" x14ac:dyDescent="0.2">
      <c r="A43" s="244" t="s">
        <v>56</v>
      </c>
      <c r="B43" s="18" t="s">
        <v>56</v>
      </c>
      <c r="C43" s="19">
        <f>'[5]F 4 TRI _ Granulo'!K30</f>
        <v>1.296428571428573</v>
      </c>
      <c r="D43" s="20">
        <f>'[5]F 4 TRI _ Granulo'!H30</f>
        <v>1.67</v>
      </c>
      <c r="E43" s="20">
        <f>'[5]F 4 TRI _ Granulo'!E30</f>
        <v>0</v>
      </c>
      <c r="F43" s="20">
        <f t="shared" si="1"/>
        <v>2.966428571428573</v>
      </c>
      <c r="G43" s="21">
        <f t="shared" si="0"/>
        <v>4.046418404083392E-2</v>
      </c>
      <c r="H43" s="21">
        <f>J43</f>
        <v>3.4251394541989007E-2</v>
      </c>
      <c r="I43" s="245">
        <f>G43</f>
        <v>4.046418404083392E-2</v>
      </c>
      <c r="J43" s="245">
        <f>'[5]Calcul sous cat &gt;20'!N15/100</f>
        <v>3.4251394541989007E-2</v>
      </c>
    </row>
    <row r="44" spans="1:10" s="1" customFormat="1" ht="15" customHeight="1" x14ac:dyDescent="0.2">
      <c r="A44" s="485" t="s">
        <v>57</v>
      </c>
      <c r="B44" s="18" t="s">
        <v>58</v>
      </c>
      <c r="C44" s="19">
        <f>'[5]F 4 TRI _ Granulo'!K31</f>
        <v>2.3881578947368434</v>
      </c>
      <c r="D44" s="20">
        <f>'[5]F 4 TRI _ Granulo'!H31</f>
        <v>2.0900000000000003</v>
      </c>
      <c r="E44" s="20">
        <f>'[5]F 4 TRI _ Granulo'!E31</f>
        <v>0</v>
      </c>
      <c r="F44" s="20">
        <f t="shared" si="1"/>
        <v>4.4781578947368441</v>
      </c>
      <c r="G44" s="21">
        <f t="shared" si="0"/>
        <v>6.1085241344368629E-2</v>
      </c>
      <c r="H44" s="21">
        <f>G44*J44/I44</f>
        <v>5.0575509955857002E-2</v>
      </c>
      <c r="I44" s="488">
        <f>G44+G45</f>
        <v>7.1323463990968422E-2</v>
      </c>
      <c r="J44" s="488">
        <f>'[5]Calcul sous cat &gt;20'!N16/100</f>
        <v>5.905224377891366E-2</v>
      </c>
    </row>
    <row r="45" spans="1:10" s="1" customFormat="1" ht="15" customHeight="1" x14ac:dyDescent="0.2">
      <c r="A45" s="487"/>
      <c r="B45" s="18" t="s">
        <v>59</v>
      </c>
      <c r="C45" s="19">
        <f>'[5]F 4 TRI _ Granulo'!K32</f>
        <v>0.75056390977443688</v>
      </c>
      <c r="D45" s="20">
        <f>'[5]F 4 TRI _ Granulo'!H32</f>
        <v>0</v>
      </c>
      <c r="E45" s="20">
        <f>'[5]F 4 TRI _ Granulo'!E32</f>
        <v>0</v>
      </c>
      <c r="F45" s="20">
        <f t="shared" si="1"/>
        <v>0.75056390977443688</v>
      </c>
      <c r="G45" s="21">
        <f t="shared" si="0"/>
        <v>1.0238222646599791E-2</v>
      </c>
      <c r="H45" s="21">
        <f>G45*J44/I44</f>
        <v>8.476733823056656E-3</v>
      </c>
      <c r="I45" s="488"/>
      <c r="J45" s="488"/>
    </row>
    <row r="46" spans="1:10" s="1" customFormat="1" ht="15" customHeight="1" x14ac:dyDescent="0.2">
      <c r="A46" s="485" t="s">
        <v>60</v>
      </c>
      <c r="B46" s="18" t="s">
        <v>61</v>
      </c>
      <c r="C46" s="19">
        <f>'[5]F 4 TRI _ Granulo'!K33</f>
        <v>1.9787593984962413</v>
      </c>
      <c r="D46" s="20">
        <f>'[5]F 4 TRI _ Granulo'!H33</f>
        <v>1.0500000000000003</v>
      </c>
      <c r="E46" s="20">
        <f>'[5]F 4 TRI _ Granulo'!E33</f>
        <v>0</v>
      </c>
      <c r="F46" s="20">
        <f t="shared" si="1"/>
        <v>3.0287593984962413</v>
      </c>
      <c r="G46" s="21">
        <f t="shared" si="0"/>
        <v>4.1314420612236988E-2</v>
      </c>
      <c r="H46" s="21">
        <f t="shared" ref="H46:H51" si="2">G46*$J$46/$I$46</f>
        <v>3.5318771597588713E-2</v>
      </c>
      <c r="I46" s="488">
        <f>G46+G47+G50+G51+G48+G49</f>
        <v>5.6736112054821278E-2</v>
      </c>
      <c r="J46" s="488">
        <f>'[5]Calcul sous cat &gt;20'!N17/100</f>
        <v>4.850242974013555E-2</v>
      </c>
    </row>
    <row r="47" spans="1:10" s="1" customFormat="1" ht="15" customHeight="1" x14ac:dyDescent="0.2">
      <c r="A47" s="486"/>
      <c r="B47" s="18" t="s">
        <v>62</v>
      </c>
      <c r="C47" s="19">
        <f>'[5]F 4 TRI _ Granulo'!K34</f>
        <v>0.20469924812030096</v>
      </c>
      <c r="D47" s="20">
        <f>'[5]F 4 TRI _ Granulo'!H34</f>
        <v>7.0000000000000062E-2</v>
      </c>
      <c r="E47" s="20">
        <f>'[5]F 4 TRI _ Granulo'!E34</f>
        <v>0</v>
      </c>
      <c r="F47" s="20">
        <f t="shared" si="1"/>
        <v>0.274699248120301</v>
      </c>
      <c r="G47" s="21">
        <f t="shared" si="0"/>
        <v>3.747092055031538E-3</v>
      </c>
      <c r="H47" s="21">
        <f t="shared" si="2"/>
        <v>3.2033049595181643E-3</v>
      </c>
      <c r="I47" s="488"/>
      <c r="J47" s="488"/>
    </row>
    <row r="48" spans="1:10" s="1" customFormat="1" ht="15" customHeight="1" x14ac:dyDescent="0.2">
      <c r="A48" s="486"/>
      <c r="B48" s="18" t="s">
        <v>63</v>
      </c>
      <c r="C48" s="19">
        <f>'[5]F 4 TRI _ Granulo'!K35</f>
        <v>0</v>
      </c>
      <c r="D48" s="20">
        <f>'[5]F 4 TRI _ Granulo'!H35</f>
        <v>0</v>
      </c>
      <c r="E48" s="20">
        <f>'[5]F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488"/>
      <c r="J48" s="488"/>
    </row>
    <row r="49" spans="1:10" s="1" customFormat="1" ht="15" customHeight="1" x14ac:dyDescent="0.2">
      <c r="A49" s="486"/>
      <c r="B49" s="18" t="s">
        <v>64</v>
      </c>
      <c r="C49" s="19">
        <f>'[5]F 4 TRI _ Granulo'!K36</f>
        <v>0</v>
      </c>
      <c r="D49" s="20">
        <f>'[5]F 4 TRI _ Granulo'!H36</f>
        <v>0</v>
      </c>
      <c r="E49" s="20">
        <f>'[5]F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488"/>
      <c r="J49" s="488"/>
    </row>
    <row r="50" spans="1:10" s="1" customFormat="1" ht="15" customHeight="1" x14ac:dyDescent="0.2">
      <c r="A50" s="486"/>
      <c r="B50" s="18" t="s">
        <v>65</v>
      </c>
      <c r="C50" s="19">
        <f>'[5]F 4 TRI _ Granulo'!K37</f>
        <v>0.34116541353383495</v>
      </c>
      <c r="D50" s="20">
        <f>'[5]F 4 TRI _ Granulo'!H37</f>
        <v>0.31000000000000005</v>
      </c>
      <c r="E50" s="20">
        <f>'[5]F 4 TRI _ Granulo'!E37</f>
        <v>0</v>
      </c>
      <c r="F50" s="20">
        <f t="shared" si="1"/>
        <v>0.65116541353383495</v>
      </c>
      <c r="G50" s="21">
        <f t="shared" si="0"/>
        <v>8.8823568475709935E-3</v>
      </c>
      <c r="H50" s="21">
        <f t="shared" si="2"/>
        <v>7.593327658931723E-3</v>
      </c>
      <c r="I50" s="488"/>
      <c r="J50" s="488"/>
    </row>
    <row r="51" spans="1:10" s="1" customFormat="1" ht="15" customHeight="1" x14ac:dyDescent="0.2">
      <c r="A51" s="487"/>
      <c r="B51" s="18" t="s">
        <v>66</v>
      </c>
      <c r="C51" s="19">
        <f>'[5]F 4 TRI _ Granulo'!K38</f>
        <v>0.20469924812030096</v>
      </c>
      <c r="D51" s="20">
        <f>'[5]F 4 TRI _ Granulo'!H38</f>
        <v>0</v>
      </c>
      <c r="E51" s="20">
        <f>'[5]F 4 TRI _ Granulo'!E38</f>
        <v>0</v>
      </c>
      <c r="F51" s="20">
        <f t="shared" si="1"/>
        <v>0.20469924812030096</v>
      </c>
      <c r="G51" s="21">
        <f t="shared" si="0"/>
        <v>2.792242539981761E-3</v>
      </c>
      <c r="H51" s="21">
        <f t="shared" si="2"/>
        <v>2.3870255240969491E-3</v>
      </c>
      <c r="I51" s="488"/>
      <c r="J51" s="488"/>
    </row>
    <row r="52" spans="1:10" s="1" customFormat="1" ht="15" customHeight="1" x14ac:dyDescent="0.2">
      <c r="A52" s="247" t="s">
        <v>67</v>
      </c>
      <c r="B52" s="18" t="s">
        <v>68</v>
      </c>
      <c r="C52" s="19">
        <f>'[5]F 4 TRI _ Granulo'!K39</f>
        <v>3.2069548872180476</v>
      </c>
      <c r="D52" s="20">
        <f>'[5]F 4 TRI _ Granulo'!H39</f>
        <v>1.77</v>
      </c>
      <c r="E52" s="20">
        <f>'[5]F 4 TRI _ Granulo'!E39</f>
        <v>0</v>
      </c>
      <c r="F52" s="20">
        <f t="shared" si="1"/>
        <v>4.9769548872180476</v>
      </c>
      <c r="G52" s="21">
        <f t="shared" si="0"/>
        <v>6.7889185149782399E-2</v>
      </c>
      <c r="H52" s="21">
        <f>J52</f>
        <v>6.4179741168242502E-2</v>
      </c>
      <c r="I52" s="248">
        <f>G52</f>
        <v>6.7889185149782399E-2</v>
      </c>
      <c r="J52" s="248">
        <f>'[5]Calcul sous cat &gt;20'!N18/100</f>
        <v>6.4179741168242502E-2</v>
      </c>
    </row>
    <row r="53" spans="1:10" s="1" customFormat="1" ht="15" customHeight="1" x14ac:dyDescent="0.2">
      <c r="A53" s="485" t="s">
        <v>69</v>
      </c>
      <c r="B53" s="18" t="s">
        <v>121</v>
      </c>
      <c r="C53" s="19">
        <f>'[5]F 4 TRI _ Granulo'!K40</f>
        <v>0</v>
      </c>
      <c r="D53" s="20">
        <f>'[5]F 4 TRI _ Granulo'!H40</f>
        <v>0.10000000000000009</v>
      </c>
      <c r="E53" s="20">
        <f>'[5]F 4 TRI _ Granulo'!E40</f>
        <v>0</v>
      </c>
      <c r="F53" s="20">
        <f t="shared" si="1"/>
        <v>0.10000000000000009</v>
      </c>
      <c r="G53" s="21">
        <f t="shared" si="0"/>
        <v>1.3640707357853964E-3</v>
      </c>
      <c r="H53" s="252">
        <f>G53*J53/I53</f>
        <v>1.1532090052457299E-3</v>
      </c>
      <c r="I53" s="488">
        <f>SUM(G53:G62)</f>
        <v>9.2754245990670642E-3</v>
      </c>
      <c r="J53" s="488">
        <f>'[5]Calcul sous cat &gt;20'!N19/100</f>
        <v>7.8416044670609666E-3</v>
      </c>
    </row>
    <row r="54" spans="1:10" s="1" customFormat="1" ht="15" customHeight="1" x14ac:dyDescent="0.2">
      <c r="A54" s="486"/>
      <c r="B54" s="18" t="s">
        <v>70</v>
      </c>
      <c r="C54" s="19">
        <f>'[5]F 4 TRI _ Granulo'!K41</f>
        <v>0</v>
      </c>
      <c r="D54" s="20">
        <f>'[5]F 4 TRI _ Granulo'!H41</f>
        <v>0</v>
      </c>
      <c r="E54" s="20">
        <f>'[5]F 4 TRI _ Granulo'!E41</f>
        <v>0</v>
      </c>
      <c r="F54" s="20">
        <f t="shared" si="1"/>
        <v>0</v>
      </c>
      <c r="G54" s="21">
        <f t="shared" si="0"/>
        <v>0</v>
      </c>
      <c r="H54" s="21">
        <f>G54*J53/I53</f>
        <v>0</v>
      </c>
      <c r="I54" s="488"/>
      <c r="J54" s="488"/>
    </row>
    <row r="55" spans="1:10" s="1" customFormat="1" ht="15" customHeight="1" x14ac:dyDescent="0.2">
      <c r="A55" s="486"/>
      <c r="B55" s="18" t="s">
        <v>71</v>
      </c>
      <c r="C55" s="19">
        <f>'[5]F 4 TRI _ Granulo'!K42</f>
        <v>0.54586466165413594</v>
      </c>
      <c r="D55" s="20">
        <f>'[5]F 4 TRI _ Granulo'!H42</f>
        <v>0</v>
      </c>
      <c r="E55" s="20">
        <f>'[5]F 4 TRI _ Granulo'!E42</f>
        <v>0</v>
      </c>
      <c r="F55" s="20">
        <f>SUM(C55:E55)</f>
        <v>0.54586466165413594</v>
      </c>
      <c r="G55" s="21">
        <f t="shared" si="0"/>
        <v>7.44598010661803E-3</v>
      </c>
      <c r="H55" s="252">
        <f>G55*J53/I53</f>
        <v>6.2949604346496258E-3</v>
      </c>
      <c r="I55" s="488"/>
      <c r="J55" s="488"/>
    </row>
    <row r="56" spans="1:10" s="1" customFormat="1" ht="15" customHeight="1" x14ac:dyDescent="0.2">
      <c r="A56" s="486"/>
      <c r="B56" s="18" t="s">
        <v>72</v>
      </c>
      <c r="C56" s="19">
        <f>'[5]F 4 TRI _ Granulo'!K43</f>
        <v>0</v>
      </c>
      <c r="D56" s="20">
        <f>'[5]F 4 TRI _ Granulo'!H43</f>
        <v>0</v>
      </c>
      <c r="E56" s="20">
        <f>'[5]F 4 TRI _ Granulo'!E43</f>
        <v>0</v>
      </c>
      <c r="F56" s="20">
        <f t="shared" si="1"/>
        <v>0</v>
      </c>
      <c r="G56" s="21">
        <f>F56/$F$64</f>
        <v>0</v>
      </c>
      <c r="H56" s="175">
        <f>G56*J53/I53</f>
        <v>0</v>
      </c>
      <c r="I56" s="488"/>
      <c r="J56" s="488"/>
    </row>
    <row r="57" spans="1:10" s="1" customFormat="1" ht="17.25" customHeight="1" x14ac:dyDescent="0.2">
      <c r="A57" s="486"/>
      <c r="B57" s="18" t="s">
        <v>122</v>
      </c>
      <c r="C57" s="19">
        <f>'[5]F 4 TRI _ Granulo'!K44</f>
        <v>0</v>
      </c>
      <c r="D57" s="20">
        <f>'[5]F 4 TRI _ Granulo'!H44</f>
        <v>0</v>
      </c>
      <c r="E57" s="20">
        <f>'[5]F 4 TRI _ Granulo'!E44</f>
        <v>0</v>
      </c>
      <c r="F57" s="20">
        <f t="shared" si="1"/>
        <v>0</v>
      </c>
      <c r="G57" s="21">
        <f t="shared" ref="G57:G62" si="3">F57/$F$64</f>
        <v>0</v>
      </c>
      <c r="H57" s="175">
        <f>G57*J53/I53</f>
        <v>0</v>
      </c>
      <c r="I57" s="488"/>
      <c r="J57" s="488"/>
    </row>
    <row r="58" spans="1:10" s="1" customFormat="1" ht="17.25" customHeight="1" x14ac:dyDescent="0.2">
      <c r="A58" s="486"/>
      <c r="B58" s="18" t="s">
        <v>123</v>
      </c>
      <c r="C58" s="19">
        <f>'[5]F 4 TRI _ Granulo'!K45</f>
        <v>0</v>
      </c>
      <c r="D58" s="20">
        <f>'[5]F 4 TRI _ Granulo'!H45</f>
        <v>0</v>
      </c>
      <c r="E58" s="20">
        <f>'[5]F 4 TRI _ Granulo'!E45</f>
        <v>0</v>
      </c>
      <c r="F58" s="20">
        <f t="shared" si="1"/>
        <v>0</v>
      </c>
      <c r="G58" s="21">
        <f t="shared" si="3"/>
        <v>0</v>
      </c>
      <c r="H58" s="175">
        <f>G58*J53/I53</f>
        <v>0</v>
      </c>
      <c r="I58" s="488"/>
      <c r="J58" s="488"/>
    </row>
    <row r="59" spans="1:10" s="1" customFormat="1" ht="25.5" customHeight="1" x14ac:dyDescent="0.2">
      <c r="A59" s="486"/>
      <c r="B59" s="18" t="s">
        <v>124</v>
      </c>
      <c r="C59" s="19">
        <f>'[5]F 4 TRI _ Granulo'!K46</f>
        <v>0</v>
      </c>
      <c r="D59" s="20">
        <f>'[5]F 4 TRI _ Granulo'!H46</f>
        <v>0</v>
      </c>
      <c r="E59" s="20">
        <f>'[5]F 4 TRI _ Granulo'!E46</f>
        <v>0</v>
      </c>
      <c r="F59" s="20">
        <f t="shared" si="1"/>
        <v>0</v>
      </c>
      <c r="G59" s="21">
        <f t="shared" si="3"/>
        <v>0</v>
      </c>
      <c r="H59" s="175">
        <f>G59*J53/I53</f>
        <v>0</v>
      </c>
      <c r="I59" s="488"/>
      <c r="J59" s="488"/>
    </row>
    <row r="60" spans="1:10" ht="25.5" x14ac:dyDescent="0.25">
      <c r="A60" s="486"/>
      <c r="B60" s="18" t="s">
        <v>125</v>
      </c>
      <c r="C60" s="19">
        <f>'[5]F 4 TRI _ Granulo'!K47</f>
        <v>0</v>
      </c>
      <c r="D60" s="20">
        <f>'[5]F 4 TRI _ Granulo'!H47</f>
        <v>0</v>
      </c>
      <c r="E60" s="20">
        <f>'[5]F 4 TRI _ Granulo'!E47</f>
        <v>0</v>
      </c>
      <c r="F60" s="20">
        <f t="shared" si="1"/>
        <v>0</v>
      </c>
      <c r="G60" s="21">
        <f t="shared" si="3"/>
        <v>0</v>
      </c>
      <c r="H60" s="175">
        <f>G60*J53/I53</f>
        <v>0</v>
      </c>
      <c r="I60" s="488"/>
      <c r="J60" s="488"/>
    </row>
    <row r="61" spans="1:10" ht="38.25" x14ac:dyDescent="0.25">
      <c r="A61" s="486"/>
      <c r="B61" s="18" t="s">
        <v>126</v>
      </c>
      <c r="C61" s="19">
        <f>'[5]F 4 TRI _ Granulo'!K48</f>
        <v>3.4116541353384253E-2</v>
      </c>
      <c r="D61" s="20">
        <f>'[5]F 4 TRI _ Granulo'!H48</f>
        <v>0</v>
      </c>
      <c r="E61" s="20">
        <f>'[5]F 4 TRI _ Granulo'!E48</f>
        <v>0</v>
      </c>
      <c r="F61" s="20">
        <f t="shared" si="1"/>
        <v>3.4116541353384253E-2</v>
      </c>
      <c r="G61" s="21">
        <f t="shared" si="3"/>
        <v>4.6537375666363717E-4</v>
      </c>
      <c r="H61" s="252">
        <f>G61*J53/I53</f>
        <v>3.9343502716561029E-4</v>
      </c>
      <c r="I61" s="488"/>
      <c r="J61" s="488"/>
    </row>
    <row r="62" spans="1:10" ht="51" x14ac:dyDescent="0.25">
      <c r="A62" s="498"/>
      <c r="B62" s="18" t="s">
        <v>73</v>
      </c>
      <c r="C62" s="19">
        <f>'[5]F 4 TRI _ Granulo'!K49</f>
        <v>0</v>
      </c>
      <c r="D62" s="20">
        <f>'[5]F 4 TRI _ Granulo'!H49</f>
        <v>0</v>
      </c>
      <c r="E62" s="20">
        <f>'[5]F 4 TRI _ Granulo'!E49</f>
        <v>0</v>
      </c>
      <c r="F62" s="20">
        <f t="shared" si="1"/>
        <v>0</v>
      </c>
      <c r="G62" s="21">
        <f t="shared" si="3"/>
        <v>0</v>
      </c>
      <c r="H62" s="175">
        <f>G62*J53/I53</f>
        <v>0</v>
      </c>
      <c r="I62" s="488"/>
      <c r="J62" s="488"/>
    </row>
    <row r="63" spans="1:10" x14ac:dyDescent="0.25">
      <c r="A63" s="22" t="s">
        <v>74</v>
      </c>
      <c r="B63" s="23">
        <f>'[5]F 3 _ Criblage et Tri'!C27+'[5]F 3 _ Criblage et Tri'!D27</f>
        <v>5.82</v>
      </c>
      <c r="C63" s="19">
        <f>'[5]F 4 TRI _ Granulo'!K50</f>
        <v>1.3646616541353398</v>
      </c>
      <c r="D63" s="20">
        <f>'[5]F 4 TRI _ Granulo'!H50</f>
        <v>0.43999999999999995</v>
      </c>
      <c r="E63" s="20">
        <f>'[5]F 4 TRI _ Granulo'!E50</f>
        <v>0</v>
      </c>
      <c r="F63" s="19">
        <f>SUM(B63:E63)</f>
        <v>7.6246616541353394</v>
      </c>
      <c r="G63" s="21">
        <f t="shared" si="0"/>
        <v>0.1040057783267108</v>
      </c>
      <c r="H63" s="21">
        <f>J63</f>
        <v>5.0988710495986335E-2</v>
      </c>
      <c r="I63" s="24">
        <f>G63</f>
        <v>0.1040057783267108</v>
      </c>
      <c r="J63" s="24">
        <f>'[5]Calcul sous cat &gt;20'!N20/100</f>
        <v>5.0988710495986335E-2</v>
      </c>
    </row>
    <row r="64" spans="1:10" x14ac:dyDescent="0.25">
      <c r="A64" s="25" t="s">
        <v>25</v>
      </c>
      <c r="B64" s="90">
        <f>B63</f>
        <v>5.82</v>
      </c>
      <c r="C64" s="19">
        <f>SUM(C18:C63)</f>
        <v>36.879981203007553</v>
      </c>
      <c r="D64" s="19">
        <f>SUM(D18:D63)</f>
        <v>25.730000000000008</v>
      </c>
      <c r="E64" s="19">
        <f>SUM(E18:E63)</f>
        <v>4.8800000000000008</v>
      </c>
      <c r="F64" s="19">
        <f>SUM(B64:E64)</f>
        <v>73.309981203007553</v>
      </c>
      <c r="G64" s="21">
        <f t="shared" si="0"/>
        <v>1</v>
      </c>
      <c r="H64" s="21">
        <f>SUM(H18:H63)</f>
        <v>0.99999999999999978</v>
      </c>
      <c r="I64" s="24">
        <f>SUM(I18:I63)</f>
        <v>1</v>
      </c>
      <c r="J64" s="24">
        <f>SUM(J18:J63)</f>
        <v>0.99999999999999989</v>
      </c>
    </row>
    <row r="65" spans="1:10" ht="51.75" x14ac:dyDescent="0.25">
      <c r="A65" s="26" t="s">
        <v>75</v>
      </c>
      <c r="B65" s="235">
        <f>B64/$F$64</f>
        <v>7.9388916822710001E-2</v>
      </c>
      <c r="C65" s="235">
        <f>C64/$F$64</f>
        <v>0.50306903095338051</v>
      </c>
      <c r="D65" s="235">
        <f>D64/$F$64</f>
        <v>0.35097540031758229</v>
      </c>
      <c r="E65" s="235">
        <f>E64/$F$64</f>
        <v>6.6566651906327295E-2</v>
      </c>
      <c r="F65" s="235">
        <f>F64/$F$64</f>
        <v>1</v>
      </c>
      <c r="G65" s="1"/>
      <c r="H65" s="1"/>
      <c r="I65" s="1"/>
      <c r="J65" s="1"/>
    </row>
  </sheetData>
  <mergeCells count="40">
    <mergeCell ref="I53:I62"/>
    <mergeCell ref="J53:J62"/>
    <mergeCell ref="A44:A45"/>
    <mergeCell ref="I44:I45"/>
    <mergeCell ref="J44:J45"/>
    <mergeCell ref="A46:A51"/>
    <mergeCell ref="I46:I51"/>
    <mergeCell ref="J46:J51"/>
    <mergeCell ref="A53:A62"/>
    <mergeCell ref="A36:A37"/>
    <mergeCell ref="I36:I37"/>
    <mergeCell ref="J36:J37"/>
    <mergeCell ref="A38:A42"/>
    <mergeCell ref="I38:I42"/>
    <mergeCell ref="J38:J42"/>
    <mergeCell ref="A28:A30"/>
    <mergeCell ref="I28:I30"/>
    <mergeCell ref="J28:J30"/>
    <mergeCell ref="A31:A34"/>
    <mergeCell ref="I31:I34"/>
    <mergeCell ref="J31:J34"/>
    <mergeCell ref="A18:A22"/>
    <mergeCell ref="I18:I22"/>
    <mergeCell ref="J18:J22"/>
    <mergeCell ref="A23:A27"/>
    <mergeCell ref="I23:I27"/>
    <mergeCell ref="J23:J27"/>
    <mergeCell ref="D12:F12"/>
    <mergeCell ref="A14:J14"/>
    <mergeCell ref="G16:G17"/>
    <mergeCell ref="H16:H17"/>
    <mergeCell ref="I16:I17"/>
    <mergeCell ref="J16:J17"/>
    <mergeCell ref="B2:F2"/>
    <mergeCell ref="B11:C11"/>
    <mergeCell ref="D11:F11"/>
    <mergeCell ref="B3:F3"/>
    <mergeCell ref="A7:J7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N20" sqref="N20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476" t="str">
        <f>'[6]F 1 _ Echant et Séchage'!D5</f>
        <v>ROM P15 PB PAR</v>
      </c>
      <c r="C2" s="476"/>
      <c r="D2" s="476"/>
      <c r="E2" s="476"/>
      <c r="F2" s="476"/>
      <c r="G2" s="2"/>
      <c r="H2" s="2"/>
      <c r="I2" s="2"/>
      <c r="J2" s="2"/>
    </row>
    <row r="3" spans="1:10" x14ac:dyDescent="0.25">
      <c r="A3" s="1" t="s">
        <v>1</v>
      </c>
      <c r="B3" s="483" t="str">
        <f>'[6]F 1 _ Echant et Séchage'!D6</f>
        <v>901 QJQ 75 20è</v>
      </c>
      <c r="C3" s="483"/>
      <c r="D3" s="483"/>
      <c r="E3" s="483"/>
      <c r="F3" s="483"/>
      <c r="G3" s="3"/>
      <c r="H3" s="3"/>
      <c r="I3" s="3"/>
      <c r="J3" s="3"/>
    </row>
    <row r="4" spans="1:10" x14ac:dyDescent="0.25">
      <c r="A4" s="1" t="s">
        <v>2</v>
      </c>
      <c r="B4" s="243"/>
      <c r="C4" s="243" t="str">
        <f>'[6]F 1 _ Echant et Séchage'!D8</f>
        <v>Romainville</v>
      </c>
      <c r="D4" s="243"/>
      <c r="E4" s="243"/>
      <c r="F4" s="243"/>
      <c r="G4" s="3"/>
      <c r="H4" s="3"/>
      <c r="I4" s="3"/>
      <c r="J4" s="3"/>
    </row>
    <row r="5" spans="1:10" x14ac:dyDescent="0.25">
      <c r="A5" s="1" t="s">
        <v>3</v>
      </c>
      <c r="B5" s="243"/>
      <c r="C5" s="243" t="str">
        <f>'[6]F 1 _ Echant et Séchage'!E15</f>
        <v>ensoleillé et nuageux</v>
      </c>
      <c r="D5" s="243"/>
      <c r="E5" s="243"/>
      <c r="F5" s="243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478" t="s">
        <v>4</v>
      </c>
      <c r="B7" s="478"/>
      <c r="C7" s="478"/>
      <c r="D7" s="478"/>
      <c r="E7" s="478"/>
      <c r="F7" s="478"/>
      <c r="G7" s="478"/>
      <c r="H7" s="478"/>
      <c r="I7" s="478"/>
      <c r="J7" s="478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'[6]F 1 _ Echant et Séchage'!B12</f>
        <v>42144</v>
      </c>
      <c r="C9" s="1"/>
      <c r="D9" s="477" t="s">
        <v>6</v>
      </c>
      <c r="E9" s="477"/>
      <c r="F9" s="477"/>
      <c r="G9" s="6">
        <f>'[6]F 1 _ Echant et Séchage'!G19</f>
        <v>125.17999999999999</v>
      </c>
      <c r="H9" s="6"/>
      <c r="I9" s="7"/>
      <c r="J9" s="1" t="s">
        <v>7</v>
      </c>
    </row>
    <row r="10" spans="1:10" x14ac:dyDescent="0.25">
      <c r="A10" s="1" t="s">
        <v>8</v>
      </c>
      <c r="B10" s="8">
        <f>'[6]F 1 _ Echant et Séchage'!E12</f>
        <v>0.32291666666666669</v>
      </c>
      <c r="C10" s="1"/>
      <c r="D10" s="477" t="s">
        <v>9</v>
      </c>
      <c r="E10" s="477"/>
      <c r="F10" s="477"/>
      <c r="G10" s="243">
        <f>'[6]F 1 _ Echant et Séchage'!H26</f>
        <v>0.45</v>
      </c>
      <c r="H10" s="243"/>
      <c r="I10" s="9"/>
      <c r="J10" s="1" t="s">
        <v>10</v>
      </c>
    </row>
    <row r="11" spans="1:10" x14ac:dyDescent="0.25">
      <c r="A11" s="1"/>
      <c r="B11" s="477"/>
      <c r="C11" s="477"/>
      <c r="D11" s="477" t="s">
        <v>11</v>
      </c>
      <c r="E11" s="477"/>
      <c r="F11" s="477"/>
      <c r="G11" s="10">
        <f>G9/1000/G10</f>
        <v>0.27817777777777775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477" t="s">
        <v>13</v>
      </c>
      <c r="E12" s="477"/>
      <c r="F12" s="477"/>
      <c r="G12" s="231">
        <f>'[6]F 1 _ Echant et Séchage'!D51</f>
        <v>0.37450071896469084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478" t="s">
        <v>14</v>
      </c>
      <c r="B14" s="478"/>
      <c r="C14" s="478"/>
      <c r="D14" s="478"/>
      <c r="E14" s="478"/>
      <c r="F14" s="478"/>
      <c r="G14" s="478"/>
      <c r="H14" s="478"/>
      <c r="I14" s="478"/>
      <c r="J14" s="478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479" t="s">
        <v>16</v>
      </c>
      <c r="H16" s="481" t="s">
        <v>17</v>
      </c>
      <c r="I16" s="479" t="s">
        <v>18</v>
      </c>
      <c r="J16" s="481" t="s">
        <v>19</v>
      </c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0"/>
      <c r="H17" s="482"/>
      <c r="I17" s="480"/>
      <c r="J17" s="482"/>
    </row>
    <row r="18" spans="1:10" ht="63.75" x14ac:dyDescent="0.25">
      <c r="A18" s="489" t="s">
        <v>26</v>
      </c>
      <c r="B18" s="18" t="s">
        <v>119</v>
      </c>
      <c r="C18" s="19">
        <f>'[6]F 4 TRI _ Granulo'!K5</f>
        <v>2.5349420849420863</v>
      </c>
      <c r="D18" s="20">
        <f>'[6]F 4 TRI _ Granulo'!H5</f>
        <v>0.57000000000000028</v>
      </c>
      <c r="E18" s="20">
        <f>'[6]F 4 TRI _ Granulo'!E5</f>
        <v>0</v>
      </c>
      <c r="F18" s="20">
        <f>SUM(C18:E18)</f>
        <v>3.1049420849420866</v>
      </c>
      <c r="G18" s="21">
        <f t="shared" ref="G18:G64" si="0">F18/$F$64</f>
        <v>3.9769979199615453E-2</v>
      </c>
      <c r="H18" s="21">
        <f>G18*J18/I18</f>
        <v>6.8553284230800371E-2</v>
      </c>
      <c r="I18" s="484">
        <f>G18+G19+G20+G21+G22</f>
        <v>0.29507467071003191</v>
      </c>
      <c r="J18" s="484">
        <f>'[6]Calcul sous cat &gt;20'!N8/100</f>
        <v>0.50863335052210024</v>
      </c>
    </row>
    <row r="19" spans="1:10" ht="51" x14ac:dyDescent="0.25">
      <c r="A19" s="490"/>
      <c r="B19" s="18" t="s">
        <v>27</v>
      </c>
      <c r="C19" s="19">
        <f>'[6]F 4 TRI _ Granulo'!K6</f>
        <v>2.3096138996139004</v>
      </c>
      <c r="D19" s="20">
        <f>'[6]F 4 TRI _ Granulo'!H6</f>
        <v>0.19000000000000017</v>
      </c>
      <c r="E19" s="20">
        <f>'[6]F 4 TRI _ Granulo'!E6</f>
        <v>17.32</v>
      </c>
      <c r="F19" s="20">
        <f>SUM(C19:E19)</f>
        <v>19.819613899613902</v>
      </c>
      <c r="G19" s="21">
        <f t="shared" si="0"/>
        <v>0.25386162155960346</v>
      </c>
      <c r="H19" s="21">
        <f>G19*J18/I18</f>
        <v>0.43759258235256127</v>
      </c>
      <c r="I19" s="484"/>
      <c r="J19" s="484"/>
    </row>
    <row r="20" spans="1:10" ht="25.5" x14ac:dyDescent="0.25">
      <c r="A20" s="490"/>
      <c r="B20" s="18" t="s">
        <v>28</v>
      </c>
      <c r="C20" s="19">
        <f>'[6]F 4 TRI _ Granulo'!K7</f>
        <v>0</v>
      </c>
      <c r="D20" s="20">
        <f>'[6]F 4 TRI _ Granulo'!H7</f>
        <v>0</v>
      </c>
      <c r="E20" s="20">
        <f>'[6]F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484"/>
      <c r="J20" s="484"/>
    </row>
    <row r="21" spans="1:10" ht="38.25" x14ac:dyDescent="0.25">
      <c r="A21" s="490"/>
      <c r="B21" s="18" t="s">
        <v>29</v>
      </c>
      <c r="C21" s="19">
        <f>'[6]F 4 TRI _ Granulo'!K8</f>
        <v>5.6332046332046387E-2</v>
      </c>
      <c r="D21" s="20">
        <f>'[6]F 4 TRI _ Granulo'!H8</f>
        <v>0</v>
      </c>
      <c r="E21" s="20">
        <f>'[6]F 4 TRI _ Granulo'!E8</f>
        <v>0</v>
      </c>
      <c r="F21" s="20">
        <f t="shared" si="1"/>
        <v>5.6332046332046387E-2</v>
      </c>
      <c r="G21" s="21">
        <f t="shared" si="0"/>
        <v>7.2153497540648824E-4</v>
      </c>
      <c r="H21" s="21">
        <f>G21*J18/I18</f>
        <v>1.2437419693692678E-3</v>
      </c>
      <c r="I21" s="484"/>
      <c r="J21" s="484"/>
    </row>
    <row r="22" spans="1:10" ht="38.25" x14ac:dyDescent="0.25">
      <c r="A22" s="491"/>
      <c r="B22" s="18" t="s">
        <v>30</v>
      </c>
      <c r="C22" s="19">
        <f>'[6]F 4 TRI _ Granulo'!K9</f>
        <v>5.6332046332046387E-2</v>
      </c>
      <c r="D22" s="20">
        <f>'[6]F 4 TRI _ Granulo'!H9</f>
        <v>0</v>
      </c>
      <c r="E22" s="20">
        <f>'[6]F 4 TRI _ Granulo'!E9</f>
        <v>0</v>
      </c>
      <c r="F22" s="20">
        <f t="shared" si="1"/>
        <v>5.6332046332046387E-2</v>
      </c>
      <c r="G22" s="21">
        <f t="shared" si="0"/>
        <v>7.2153497540648824E-4</v>
      </c>
      <c r="H22" s="21">
        <f>G22*J18/I18</f>
        <v>1.2437419693692678E-3</v>
      </c>
      <c r="I22" s="484"/>
      <c r="J22" s="484"/>
    </row>
    <row r="23" spans="1:10" ht="25.5" x14ac:dyDescent="0.25">
      <c r="A23" s="485" t="s">
        <v>31</v>
      </c>
      <c r="B23" s="18" t="s">
        <v>32</v>
      </c>
      <c r="C23" s="19">
        <f>'[6]F 4 TRI _ Granulo'!K10</f>
        <v>0.95764478764478866</v>
      </c>
      <c r="D23" s="20">
        <f>'[6]F 4 TRI _ Granulo'!H10</f>
        <v>2.6999999999999997</v>
      </c>
      <c r="E23" s="20">
        <f>'[6]F 4 TRI _ Granulo'!E10</f>
        <v>0</v>
      </c>
      <c r="F23" s="20">
        <f t="shared" si="1"/>
        <v>3.6576447876447884</v>
      </c>
      <c r="G23" s="21">
        <f t="shared" si="0"/>
        <v>4.6849330243442629E-2</v>
      </c>
      <c r="H23" s="21">
        <f>'[6]Calcul sous cat &gt;20'!N32/100</f>
        <v>3.3600965460462803E-2</v>
      </c>
      <c r="I23" s="488">
        <f>G23+G24+G25+G26+G27</f>
        <v>9.180704206267018E-2</v>
      </c>
      <c r="J23" s="488">
        <f>'[6]Calcul sous cat &gt;20'!N9/100</f>
        <v>6.4956277543880836E-2</v>
      </c>
    </row>
    <row r="24" spans="1:10" ht="38.25" x14ac:dyDescent="0.25">
      <c r="A24" s="486"/>
      <c r="B24" s="18" t="s">
        <v>33</v>
      </c>
      <c r="C24" s="19">
        <f>'[6]F 4 TRI _ Granulo'!K11</f>
        <v>0.50698841698841746</v>
      </c>
      <c r="D24" s="20">
        <f>'[6]F 4 TRI _ Granulo'!H11</f>
        <v>1.4500000000000002</v>
      </c>
      <c r="E24" s="20">
        <f>'[6]F 4 TRI _ Granulo'!E11</f>
        <v>0</v>
      </c>
      <c r="F24" s="20">
        <f t="shared" si="1"/>
        <v>1.9569884169884175</v>
      </c>
      <c r="G24" s="21">
        <f t="shared" si="0"/>
        <v>2.5066293189481312E-2</v>
      </c>
      <c r="H24" s="21">
        <f>'[6]Calcul sous cat &gt;20'!N33/100</f>
        <v>1.7386009185773182E-2</v>
      </c>
      <c r="I24" s="488"/>
      <c r="J24" s="488"/>
    </row>
    <row r="25" spans="1:10" ht="25.5" x14ac:dyDescent="0.25">
      <c r="A25" s="486"/>
      <c r="B25" s="18" t="s">
        <v>34</v>
      </c>
      <c r="C25" s="19">
        <f>'[6]F 4 TRI _ Granulo'!K12</f>
        <v>0.50698841698841746</v>
      </c>
      <c r="D25" s="20">
        <f>'[6]F 4 TRI _ Granulo'!H12</f>
        <v>0.25</v>
      </c>
      <c r="E25" s="20">
        <f>'[6]F 4 TRI _ Granulo'!E12</f>
        <v>0</v>
      </c>
      <c r="F25" s="20">
        <f t="shared" si="1"/>
        <v>0.75698841698841746</v>
      </c>
      <c r="G25" s="21">
        <f t="shared" si="0"/>
        <v>9.6959662288002759E-3</v>
      </c>
      <c r="H25" s="21">
        <f>'[6]Calcul sous cat &gt;20'!N34/100</f>
        <v>6.7251330958503176E-3</v>
      </c>
      <c r="I25" s="488"/>
      <c r="J25" s="488"/>
    </row>
    <row r="26" spans="1:10" ht="25.5" x14ac:dyDescent="0.25">
      <c r="A26" s="486"/>
      <c r="B26" s="18" t="s">
        <v>35</v>
      </c>
      <c r="C26" s="19">
        <f>'[6]F 4 TRI _ Granulo'!K13</f>
        <v>0.16899613899613913</v>
      </c>
      <c r="D26" s="20">
        <f>'[6]F 4 TRI _ Granulo'!H13</f>
        <v>9.000000000000008E-2</v>
      </c>
      <c r="E26" s="20">
        <f>'[6]F 4 TRI _ Granulo'!E13</f>
        <v>0</v>
      </c>
      <c r="F26" s="20">
        <f t="shared" si="1"/>
        <v>0.25899613899613921</v>
      </c>
      <c r="G26" s="21">
        <f t="shared" si="0"/>
        <v>3.3173794482705432E-3</v>
      </c>
      <c r="H26" s="21">
        <f>'[6]Calcul sous cat &gt;20'!N35/100</f>
        <v>2.3238669429482411E-3</v>
      </c>
      <c r="I26" s="488"/>
      <c r="J26" s="488"/>
    </row>
    <row r="27" spans="1:10" ht="25.5" x14ac:dyDescent="0.25">
      <c r="A27" s="487"/>
      <c r="B27" s="18" t="s">
        <v>36</v>
      </c>
      <c r="C27" s="19">
        <f>'[6]F 4 TRI _ Granulo'!K14</f>
        <v>0.50698841698841746</v>
      </c>
      <c r="D27" s="20">
        <f>'[6]F 4 TRI _ Granulo'!H14</f>
        <v>3.0000000000000027E-2</v>
      </c>
      <c r="E27" s="20">
        <f>'[6]F 4 TRI _ Granulo'!E14</f>
        <v>0</v>
      </c>
      <c r="F27" s="20">
        <f t="shared" si="1"/>
        <v>0.53698841698841748</v>
      </c>
      <c r="G27" s="21">
        <f t="shared" si="0"/>
        <v>6.8780729526754202E-3</v>
      </c>
      <c r="H27" s="21">
        <f>'[6]Calcul sous cat &gt;20'!N36/100</f>
        <v>4.9203028588463062E-3</v>
      </c>
      <c r="I27" s="488"/>
      <c r="J27" s="488"/>
    </row>
    <row r="28" spans="1:10" ht="25.5" x14ac:dyDescent="0.25">
      <c r="A28" s="485" t="s">
        <v>37</v>
      </c>
      <c r="B28" s="18" t="s">
        <v>38</v>
      </c>
      <c r="C28" s="19">
        <f>'[6]F 4 TRI _ Granulo'!K15</f>
        <v>0.95764478764478866</v>
      </c>
      <c r="D28" s="20">
        <f>'[6]F 4 TRI _ Granulo'!H15</f>
        <v>1.5</v>
      </c>
      <c r="E28" s="20">
        <f>'[6]F 4 TRI _ Granulo'!E15</f>
        <v>0</v>
      </c>
      <c r="F28" s="20">
        <f t="shared" si="1"/>
        <v>2.4576447876447887</v>
      </c>
      <c r="G28" s="21">
        <f t="shared" si="0"/>
        <v>3.1479003282761597E-2</v>
      </c>
      <c r="H28" s="21">
        <f>'[6]Calcul sous cat &gt;20'!N37/100</f>
        <v>2.2249921402652573E-2</v>
      </c>
      <c r="I28" s="488">
        <f>G28+G29+G30</f>
        <v>7.2244493041316887E-2</v>
      </c>
      <c r="J28" s="488">
        <f>'[6]Calcul sous cat &gt;20'!N10/100</f>
        <v>5.1119378403398349E-2</v>
      </c>
    </row>
    <row r="29" spans="1:10" ht="38.25" x14ac:dyDescent="0.25">
      <c r="A29" s="486"/>
      <c r="B29" s="18" t="s">
        <v>39</v>
      </c>
      <c r="C29" s="19">
        <f>'[6]F 4 TRI _ Granulo'!K16</f>
        <v>5.6332046332046387E-2</v>
      </c>
      <c r="D29" s="20">
        <f>'[6]F 4 TRI _ Granulo'!H16</f>
        <v>1.7400000000000002</v>
      </c>
      <c r="E29" s="20">
        <f>'[6]F 4 TRI _ Granulo'!E16</f>
        <v>1.2</v>
      </c>
      <c r="F29" s="20">
        <f t="shared" si="1"/>
        <v>2.9963320463320464</v>
      </c>
      <c r="G29" s="21">
        <f t="shared" si="0"/>
        <v>3.8378836029075027E-2</v>
      </c>
      <c r="H29" s="21">
        <f>'[6]Calcul sous cat &gt;20'!N38/100</f>
        <v>2.7146730882596594E-2</v>
      </c>
      <c r="I29" s="488"/>
      <c r="J29" s="488"/>
    </row>
    <row r="30" spans="1:10" ht="25.5" x14ac:dyDescent="0.25">
      <c r="A30" s="487"/>
      <c r="B30" s="18" t="s">
        <v>40</v>
      </c>
      <c r="C30" s="19">
        <f>'[6]F 4 TRI _ Granulo'!K17</f>
        <v>5.6332046332046387E-2</v>
      </c>
      <c r="D30" s="20">
        <f>'[6]F 4 TRI _ Granulo'!H17</f>
        <v>0.13000000000000012</v>
      </c>
      <c r="E30" s="20">
        <f>'[6]F 4 TRI _ Granulo'!E17</f>
        <v>0</v>
      </c>
      <c r="F30" s="20">
        <f t="shared" si="1"/>
        <v>0.1863320463320465</v>
      </c>
      <c r="G30" s="21">
        <f t="shared" si="0"/>
        <v>2.3866537294802686E-3</v>
      </c>
      <c r="H30" s="21">
        <f>'[6]Calcul sous cat &gt;20'!N39/100</f>
        <v>1.7227261181491744E-3</v>
      </c>
      <c r="I30" s="488"/>
      <c r="J30" s="488"/>
    </row>
    <row r="31" spans="1:10" ht="38.25" x14ac:dyDescent="0.25">
      <c r="A31" s="492" t="s">
        <v>41</v>
      </c>
      <c r="B31" s="18" t="s">
        <v>42</v>
      </c>
      <c r="C31" s="19">
        <f>'[6]F 4 TRI _ Granulo'!K18</f>
        <v>0.16899613899613913</v>
      </c>
      <c r="D31" s="20">
        <f>'[6]F 4 TRI _ Granulo'!H18</f>
        <v>0.41000000000000014</v>
      </c>
      <c r="E31" s="20">
        <f>'[6]F 4 TRI _ Granulo'!E18</f>
        <v>0</v>
      </c>
      <c r="F31" s="20">
        <f t="shared" si="1"/>
        <v>0.57899613899613933</v>
      </c>
      <c r="G31" s="21">
        <f t="shared" si="0"/>
        <v>7.4161333044521546E-3</v>
      </c>
      <c r="H31" s="249">
        <f>G31*J31/I31</f>
        <v>6.6068790215460995E-3</v>
      </c>
      <c r="I31" s="495">
        <f>G31+G32+G33+G34</f>
        <v>1.7620240168776877E-2</v>
      </c>
      <c r="J31" s="495">
        <f>'[6]Calcul sous cat &gt;20'!N11/100</f>
        <v>1.5697505741409493E-2</v>
      </c>
    </row>
    <row r="32" spans="1:10" ht="38.25" x14ac:dyDescent="0.25">
      <c r="A32" s="493"/>
      <c r="B32" s="18" t="s">
        <v>43</v>
      </c>
      <c r="C32" s="19">
        <f>'[6]F 4 TRI _ Granulo'!K19</f>
        <v>0.28166023166023191</v>
      </c>
      <c r="D32" s="20">
        <f>'[6]F 4 TRI _ Granulo'!H19</f>
        <v>0.51500000000000035</v>
      </c>
      <c r="E32" s="20">
        <f>'[6]F 4 TRI _ Granulo'!E19</f>
        <v>0</v>
      </c>
      <c r="F32" s="20">
        <f t="shared" si="1"/>
        <v>0.79666023166023225</v>
      </c>
      <c r="G32" s="21">
        <f t="shared" si="0"/>
        <v>1.0204106864324724E-2</v>
      </c>
      <c r="H32" s="249">
        <f>G32*J31/I31</f>
        <v>9.0906267198633938E-3</v>
      </c>
      <c r="I32" s="496"/>
      <c r="J32" s="496"/>
    </row>
    <row r="33" spans="1:10" ht="51" x14ac:dyDescent="0.25">
      <c r="A33" s="493"/>
      <c r="B33" s="18" t="s">
        <v>44</v>
      </c>
      <c r="C33" s="19">
        <f>'[6]F 4 TRI _ Granulo'!K20</f>
        <v>0</v>
      </c>
      <c r="D33" s="20">
        <f>'[6]F 4 TRI _ Granulo'!H20</f>
        <v>0</v>
      </c>
      <c r="E33" s="20">
        <f>'[6]F 4 TRI _ Granulo'!E20</f>
        <v>0</v>
      </c>
      <c r="F33" s="20">
        <f t="shared" si="1"/>
        <v>0</v>
      </c>
      <c r="G33" s="21">
        <f t="shared" si="0"/>
        <v>0</v>
      </c>
      <c r="H33" s="249">
        <f>G33*J31/I31</f>
        <v>0</v>
      </c>
      <c r="I33" s="496"/>
      <c r="J33" s="496"/>
    </row>
    <row r="34" spans="1:10" ht="25.5" x14ac:dyDescent="0.25">
      <c r="A34" s="494"/>
      <c r="B34" s="18" t="s">
        <v>120</v>
      </c>
      <c r="C34" s="19">
        <f>'[6]F 4 TRI _ Granulo'!K21</f>
        <v>0</v>
      </c>
      <c r="D34" s="20">
        <f>'[6]F 4 TRI _ Granulo'!H21</f>
        <v>0</v>
      </c>
      <c r="E34" s="20">
        <f>'[6]F 4 TRI _ Granulo'!E21</f>
        <v>0</v>
      </c>
      <c r="F34" s="20">
        <f t="shared" si="1"/>
        <v>0</v>
      </c>
      <c r="G34" s="21">
        <f t="shared" si="0"/>
        <v>0</v>
      </c>
      <c r="H34" s="249">
        <f>G34*J31/I31</f>
        <v>0</v>
      </c>
      <c r="I34" s="497"/>
      <c r="J34" s="497"/>
    </row>
    <row r="35" spans="1:10" x14ac:dyDescent="0.25">
      <c r="A35" s="244" t="s">
        <v>45</v>
      </c>
      <c r="B35" s="18" t="s">
        <v>46</v>
      </c>
      <c r="C35" s="19">
        <f>'[6]F 4 TRI _ Granulo'!K22</f>
        <v>1.2956370656370655</v>
      </c>
      <c r="D35" s="20">
        <f>'[6]F 4 TRI _ Granulo'!H22</f>
        <v>1.17</v>
      </c>
      <c r="E35" s="20">
        <f>'[6]F 4 TRI _ Granulo'!E22</f>
        <v>0</v>
      </c>
      <c r="F35" s="20">
        <f t="shared" si="1"/>
        <v>2.4656370656370656</v>
      </c>
      <c r="G35" s="21">
        <f t="shared" si="0"/>
        <v>3.1581373221013224E-2</v>
      </c>
      <c r="H35" s="21">
        <f>'[6]Calcul sous cat &gt;20'!N43/100</f>
        <v>2.2334133994287488E-2</v>
      </c>
      <c r="I35" s="245">
        <f>G35</f>
        <v>3.1581373221013224E-2</v>
      </c>
      <c r="J35" s="245">
        <f>'[6]Calcul sous cat &gt;20'!N12/100</f>
        <v>2.2334133994287488E-2</v>
      </c>
    </row>
    <row r="36" spans="1:10" ht="51" x14ac:dyDescent="0.25">
      <c r="A36" s="485" t="s">
        <v>47</v>
      </c>
      <c r="B36" s="18" t="s">
        <v>48</v>
      </c>
      <c r="C36" s="19">
        <f>'[6]F 4 TRI _ Granulo'!K23</f>
        <v>2.6476061776061788</v>
      </c>
      <c r="D36" s="20">
        <f>'[6]F 4 TRI _ Granulo'!H23</f>
        <v>0.41000000000000014</v>
      </c>
      <c r="E36" s="20">
        <f>'[6]F 4 TRI _ Granulo'!E23</f>
        <v>0</v>
      </c>
      <c r="F36" s="20">
        <f t="shared" si="1"/>
        <v>3.0576061776061789</v>
      </c>
      <c r="G36" s="21">
        <f t="shared" si="0"/>
        <v>3.9163672222337617E-2</v>
      </c>
      <c r="H36" s="21">
        <f>'[6]Calcul sous cat &gt;20'!N44/100</f>
        <v>2.8502847336400693E-2</v>
      </c>
      <c r="I36" s="488">
        <f>G36+G37</f>
        <v>5.3257094929077917E-2</v>
      </c>
      <c r="J36" s="488">
        <f>'[6]Calcul sous cat &gt;20'!N13/100</f>
        <v>3.8636865139158511E-2</v>
      </c>
    </row>
    <row r="37" spans="1:10" ht="63.75" x14ac:dyDescent="0.25">
      <c r="A37" s="487"/>
      <c r="B37" s="18" t="s">
        <v>49</v>
      </c>
      <c r="C37" s="19">
        <f>'[6]F 4 TRI _ Granulo'!K24</f>
        <v>1.0703088803088812</v>
      </c>
      <c r="D37" s="20">
        <f>'[6]F 4 TRI _ Granulo'!H24</f>
        <v>3.0000000000000027E-2</v>
      </c>
      <c r="E37" s="20">
        <f>'[6]F 4 TRI _ Granulo'!E24</f>
        <v>0</v>
      </c>
      <c r="F37" s="20">
        <f t="shared" si="1"/>
        <v>1.1003088803088812</v>
      </c>
      <c r="G37" s="21">
        <f t="shared" si="0"/>
        <v>1.40934227067403E-2</v>
      </c>
      <c r="H37" s="21">
        <f>'[6]Calcul sous cat &gt;20'!N45/100</f>
        <v>1.0134017802757821E-2</v>
      </c>
      <c r="I37" s="488"/>
      <c r="J37" s="488"/>
    </row>
    <row r="38" spans="1:10" ht="38.25" x14ac:dyDescent="0.25">
      <c r="A38" s="485" t="s">
        <v>50</v>
      </c>
      <c r="B38" s="18" t="s">
        <v>51</v>
      </c>
      <c r="C38" s="19">
        <f>'[6]F 4 TRI _ Granulo'!K25</f>
        <v>1.1829729729729741</v>
      </c>
      <c r="D38" s="20">
        <f>'[6]F 4 TRI _ Granulo'!H25</f>
        <v>3.35</v>
      </c>
      <c r="E38" s="20">
        <f>'[6]F 4 TRI _ Granulo'!E25</f>
        <v>0</v>
      </c>
      <c r="F38" s="20">
        <f t="shared" si="1"/>
        <v>4.5329729729729742</v>
      </c>
      <c r="G38" s="21">
        <f t="shared" si="0"/>
        <v>5.8061063915437479E-2</v>
      </c>
      <c r="H38" s="21">
        <f>'[6]Calcul sous cat &gt;20'!N46/100</f>
        <v>4.7428639178968543E-2</v>
      </c>
      <c r="I38" s="488">
        <f>G38+G39+G40+G41+G42</f>
        <v>0.12259022648977934</v>
      </c>
      <c r="J38" s="488">
        <f>'[6]Calcul sous cat &gt;20'!N14/100</f>
        <v>9.7802962865692594E-2</v>
      </c>
    </row>
    <row r="39" spans="1:10" ht="38.25" x14ac:dyDescent="0.25">
      <c r="A39" s="486"/>
      <c r="B39" s="18" t="s">
        <v>52</v>
      </c>
      <c r="C39" s="19">
        <f>'[6]F 4 TRI _ Granulo'!K26</f>
        <v>0.28166023166023191</v>
      </c>
      <c r="D39" s="20">
        <f>'[6]F 4 TRI _ Granulo'!H26</f>
        <v>0.92000000000000037</v>
      </c>
      <c r="E39" s="20">
        <f>'[6]F 4 TRI _ Granulo'!E26</f>
        <v>0</v>
      </c>
      <c r="F39" s="20">
        <f t="shared" si="1"/>
        <v>1.2016602316602323</v>
      </c>
      <c r="G39" s="21">
        <f t="shared" si="0"/>
        <v>1.5391592213554574E-2</v>
      </c>
      <c r="H39" s="21">
        <f>'[6]Calcul sous cat &gt;20'!N47/100</f>
        <v>1.1239175657417683E-2</v>
      </c>
      <c r="I39" s="488"/>
      <c r="J39" s="488"/>
    </row>
    <row r="40" spans="1:10" ht="51" x14ac:dyDescent="0.25">
      <c r="A40" s="486"/>
      <c r="B40" s="18" t="s">
        <v>53</v>
      </c>
      <c r="C40" s="19">
        <f>'[6]F 4 TRI _ Granulo'!K27</f>
        <v>0.28166023166023191</v>
      </c>
      <c r="D40" s="20">
        <f>'[6]F 4 TRI _ Granulo'!H27</f>
        <v>0.60999999999999988</v>
      </c>
      <c r="E40" s="20">
        <f>'[6]F 4 TRI _ Granulo'!E27</f>
        <v>0</v>
      </c>
      <c r="F40" s="20">
        <f t="shared" si="1"/>
        <v>0.89166023166023178</v>
      </c>
      <c r="G40" s="21">
        <f t="shared" si="0"/>
        <v>1.1420924415378633E-2</v>
      </c>
      <c r="H40" s="21">
        <f>'[6]Calcul sous cat &gt;20'!N48/100</f>
        <v>8.3385100140055991E-3</v>
      </c>
      <c r="I40" s="488"/>
      <c r="J40" s="488"/>
    </row>
    <row r="41" spans="1:10" ht="38.25" x14ac:dyDescent="0.25">
      <c r="A41" s="486"/>
      <c r="B41" s="18" t="s">
        <v>54</v>
      </c>
      <c r="C41" s="19">
        <f>'[6]F 4 TRI _ Granulo'!K28</f>
        <v>0.732316602316603</v>
      </c>
      <c r="D41" s="20">
        <f>'[6]F 4 TRI _ Granulo'!H28</f>
        <v>1.0500000000000003</v>
      </c>
      <c r="E41" s="20">
        <f>'[6]F 4 TRI _ Granulo'!E28</f>
        <v>0</v>
      </c>
      <c r="F41" s="20">
        <f t="shared" si="1"/>
        <v>1.7823166023166033</v>
      </c>
      <c r="G41" s="21">
        <f t="shared" si="0"/>
        <v>2.2828990770880256E-2</v>
      </c>
      <c r="H41" s="21">
        <f>'[6]Calcul sous cat &gt;20'!N49/100</f>
        <v>1.8639780384780837E-2</v>
      </c>
      <c r="I41" s="488"/>
      <c r="J41" s="488"/>
    </row>
    <row r="42" spans="1:10" ht="25.5" x14ac:dyDescent="0.25">
      <c r="A42" s="487"/>
      <c r="B42" s="18" t="s">
        <v>55</v>
      </c>
      <c r="C42" s="19">
        <f>'[6]F 4 TRI _ Granulo'!K29</f>
        <v>0.732316602316603</v>
      </c>
      <c r="D42" s="20">
        <f>'[6]F 4 TRI _ Granulo'!H29</f>
        <v>0.43000000000000016</v>
      </c>
      <c r="E42" s="20">
        <f>'[6]F 4 TRI _ Granulo'!E29</f>
        <v>0</v>
      </c>
      <c r="F42" s="20">
        <f t="shared" si="1"/>
        <v>1.1623166023166032</v>
      </c>
      <c r="G42" s="21">
        <f t="shared" si="0"/>
        <v>1.4887655174528386E-2</v>
      </c>
      <c r="H42" s="21">
        <f>'[6]Calcul sous cat &gt;20'!N50/100</f>
        <v>1.2156857630519928E-2</v>
      </c>
      <c r="I42" s="488"/>
      <c r="J42" s="488"/>
    </row>
    <row r="43" spans="1:10" ht="38.25" x14ac:dyDescent="0.25">
      <c r="A43" s="244" t="s">
        <v>56</v>
      </c>
      <c r="B43" s="18" t="s">
        <v>56</v>
      </c>
      <c r="C43" s="19">
        <f>'[6]F 4 TRI _ Granulo'!K30</f>
        <v>1.7462934362934368</v>
      </c>
      <c r="D43" s="20">
        <f>'[6]F 4 TRI _ Granulo'!H30</f>
        <v>1.33</v>
      </c>
      <c r="E43" s="20">
        <f>'[6]F 4 TRI _ Granulo'!E30</f>
        <v>0</v>
      </c>
      <c r="F43" s="20">
        <f t="shared" si="1"/>
        <v>3.0762934362934367</v>
      </c>
      <c r="G43" s="21">
        <f t="shared" si="0"/>
        <v>3.9403029952355936E-2</v>
      </c>
      <c r="H43" s="21">
        <f>J43</f>
        <v>2.8455147455779383E-2</v>
      </c>
      <c r="I43" s="245">
        <f>G43</f>
        <v>3.9403029952355936E-2</v>
      </c>
      <c r="J43" s="245">
        <f>'[6]Calcul sous cat &gt;20'!N15/100</f>
        <v>2.8455147455779383E-2</v>
      </c>
    </row>
    <row r="44" spans="1:10" ht="51" x14ac:dyDescent="0.25">
      <c r="A44" s="485" t="s">
        <v>57</v>
      </c>
      <c r="B44" s="18" t="s">
        <v>58</v>
      </c>
      <c r="C44" s="19">
        <f>'[6]F 4 TRI _ Granulo'!K31</f>
        <v>1.1829729729729741</v>
      </c>
      <c r="D44" s="20">
        <f>'[6]F 4 TRI _ Granulo'!H31</f>
        <v>1.5500000000000003</v>
      </c>
      <c r="E44" s="20">
        <f>'[6]F 4 TRI _ Granulo'!E31</f>
        <v>0</v>
      </c>
      <c r="F44" s="20">
        <f t="shared" si="1"/>
        <v>2.7329729729729744</v>
      </c>
      <c r="G44" s="21">
        <f t="shared" si="0"/>
        <v>3.5005573474415928E-2</v>
      </c>
      <c r="H44" s="21">
        <f>G44*J44/I44</f>
        <v>2.4736832568784495E-2</v>
      </c>
      <c r="I44" s="488">
        <f>G44+G45</f>
        <v>9.3834164656358451E-2</v>
      </c>
      <c r="J44" s="488">
        <f>'[6]Calcul sous cat &gt;20'!N16/100</f>
        <v>6.6308298649428818E-2</v>
      </c>
    </row>
    <row r="45" spans="1:10" ht="38.25" x14ac:dyDescent="0.25">
      <c r="A45" s="487"/>
      <c r="B45" s="18" t="s">
        <v>59</v>
      </c>
      <c r="C45" s="19">
        <f>'[6]F 4 TRI _ Granulo'!K32</f>
        <v>4.562895752895753</v>
      </c>
      <c r="D45" s="20">
        <f>'[6]F 4 TRI _ Granulo'!H32</f>
        <v>3.0000000000000027E-2</v>
      </c>
      <c r="E45" s="20">
        <f>'[6]F 4 TRI _ Granulo'!E32</f>
        <v>0</v>
      </c>
      <c r="F45" s="20">
        <f t="shared" si="1"/>
        <v>4.5928957528957532</v>
      </c>
      <c r="G45" s="21">
        <f t="shared" si="0"/>
        <v>5.8828591181942523E-2</v>
      </c>
      <c r="H45" s="21">
        <f>G45*J44/I44</f>
        <v>4.1571466080644319E-2</v>
      </c>
      <c r="I45" s="488"/>
      <c r="J45" s="488"/>
    </row>
    <row r="46" spans="1:10" ht="51" x14ac:dyDescent="0.25">
      <c r="A46" s="485" t="s">
        <v>60</v>
      </c>
      <c r="B46" s="18" t="s">
        <v>61</v>
      </c>
      <c r="C46" s="19">
        <f>'[6]F 4 TRI _ Granulo'!K33</f>
        <v>0.84498069498069583</v>
      </c>
      <c r="D46" s="20">
        <f>'[6]F 4 TRI _ Granulo'!H33</f>
        <v>1.4100000000000001</v>
      </c>
      <c r="E46" s="20">
        <f>'[6]F 4 TRI _ Granulo'!E33</f>
        <v>0</v>
      </c>
      <c r="F46" s="20">
        <f t="shared" si="1"/>
        <v>2.2549806949806959</v>
      </c>
      <c r="G46" s="21">
        <f t="shared" si="0"/>
        <v>2.888315880989754E-2</v>
      </c>
      <c r="H46" s="21">
        <f t="shared" ref="H46:H51" si="2">G46*$J$46/$I$46</f>
        <v>2.1070211717625249E-2</v>
      </c>
      <c r="I46" s="488">
        <f>G46+G47+G50+G51+G48+G49</f>
        <v>3.7693155259094863E-2</v>
      </c>
      <c r="J46" s="488">
        <f>'[6]Calcul sous cat &gt;20'!N17/100</f>
        <v>2.7497088072731671E-2</v>
      </c>
    </row>
    <row r="47" spans="1:10" ht="51" x14ac:dyDescent="0.25">
      <c r="A47" s="486"/>
      <c r="B47" s="18" t="s">
        <v>62</v>
      </c>
      <c r="C47" s="19">
        <f>'[6]F 4 TRI _ Granulo'!K34</f>
        <v>0.61965250965251018</v>
      </c>
      <c r="D47" s="20">
        <f>'[6]F 4 TRI _ Granulo'!H34</f>
        <v>3.0000000000000027E-2</v>
      </c>
      <c r="E47" s="20">
        <f>'[6]F 4 TRI _ Granulo'!E34</f>
        <v>0</v>
      </c>
      <c r="F47" s="20">
        <f t="shared" si="1"/>
        <v>0.6496525096525102</v>
      </c>
      <c r="G47" s="21">
        <f t="shared" si="0"/>
        <v>8.3211429034883953E-3</v>
      </c>
      <c r="H47" s="21">
        <f t="shared" si="2"/>
        <v>6.0702585843565955E-3</v>
      </c>
      <c r="I47" s="488"/>
      <c r="J47" s="488"/>
    </row>
    <row r="48" spans="1:10" ht="38.25" x14ac:dyDescent="0.25">
      <c r="A48" s="486"/>
      <c r="B48" s="18" t="s">
        <v>63</v>
      </c>
      <c r="C48" s="19">
        <f>'[6]F 4 TRI _ Granulo'!K35</f>
        <v>0</v>
      </c>
      <c r="D48" s="20">
        <f>'[6]F 4 TRI _ Granulo'!H35</f>
        <v>0</v>
      </c>
      <c r="E48" s="20">
        <f>'[6]F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488"/>
      <c r="J48" s="488"/>
    </row>
    <row r="49" spans="1:10" ht="51" x14ac:dyDescent="0.25">
      <c r="A49" s="486"/>
      <c r="B49" s="18" t="s">
        <v>64</v>
      </c>
      <c r="C49" s="19">
        <f>'[6]F 4 TRI _ Granulo'!K36</f>
        <v>0</v>
      </c>
      <c r="D49" s="20">
        <f>'[6]F 4 TRI _ Granulo'!H36</f>
        <v>0</v>
      </c>
      <c r="E49" s="20">
        <f>'[6]F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488"/>
      <c r="J49" s="488"/>
    </row>
    <row r="50" spans="1:10" ht="38.25" x14ac:dyDescent="0.25">
      <c r="A50" s="486"/>
      <c r="B50" s="18" t="s">
        <v>65</v>
      </c>
      <c r="C50" s="19">
        <f>'[6]F 4 TRI _ Granulo'!K37</f>
        <v>2.8166023166023815E-2</v>
      </c>
      <c r="D50" s="20">
        <f>'[6]F 4 TRI _ Granulo'!H37</f>
        <v>0</v>
      </c>
      <c r="E50" s="20">
        <f>'[6]F 4 TRI _ Granulo'!E37</f>
        <v>0</v>
      </c>
      <c r="F50" s="20">
        <f t="shared" si="1"/>
        <v>2.8166023166023815E-2</v>
      </c>
      <c r="G50" s="21">
        <f t="shared" si="0"/>
        <v>3.6076748770325209E-4</v>
      </c>
      <c r="H50" s="21">
        <f t="shared" si="2"/>
        <v>2.6317922484774963E-4</v>
      </c>
      <c r="I50" s="488"/>
      <c r="J50" s="488"/>
    </row>
    <row r="51" spans="1:10" ht="25.5" x14ac:dyDescent="0.25">
      <c r="A51" s="487"/>
      <c r="B51" s="18" t="s">
        <v>66</v>
      </c>
      <c r="C51" s="19">
        <f>'[6]F 4 TRI _ Granulo'!K38</f>
        <v>0</v>
      </c>
      <c r="D51" s="20">
        <f>'[6]F 4 TRI _ Granulo'!H38</f>
        <v>1.0000000000000009E-2</v>
      </c>
      <c r="E51" s="20">
        <f>'[6]F 4 TRI _ Granulo'!E38</f>
        <v>0</v>
      </c>
      <c r="F51" s="20">
        <f t="shared" si="1"/>
        <v>1.0000000000000009E-2</v>
      </c>
      <c r="G51" s="21">
        <f t="shared" si="0"/>
        <v>1.2808605800567542E-4</v>
      </c>
      <c r="H51" s="21">
        <f t="shared" si="2"/>
        <v>9.3438545902077647E-5</v>
      </c>
      <c r="I51" s="488"/>
      <c r="J51" s="488"/>
    </row>
    <row r="52" spans="1:10" ht="38.25" x14ac:dyDescent="0.25">
      <c r="A52" s="247" t="s">
        <v>67</v>
      </c>
      <c r="B52" s="18" t="s">
        <v>68</v>
      </c>
      <c r="C52" s="19">
        <f>'[6]F 4 TRI _ Granulo'!K39</f>
        <v>0.61965250965251018</v>
      </c>
      <c r="D52" s="20">
        <f>'[6]F 4 TRI _ Granulo'!H39</f>
        <v>1.17</v>
      </c>
      <c r="E52" s="20">
        <f>'[6]F 4 TRI _ Granulo'!E39</f>
        <v>0</v>
      </c>
      <c r="F52" s="20">
        <f t="shared" si="1"/>
        <v>1.7896525096525102</v>
      </c>
      <c r="G52" s="21">
        <f t="shared" si="0"/>
        <v>2.292295351613538E-2</v>
      </c>
      <c r="H52" s="21">
        <f>J52</f>
        <v>1.8492397619960493E-2</v>
      </c>
      <c r="I52" s="248">
        <f>G52</f>
        <v>2.292295351613538E-2</v>
      </c>
      <c r="J52" s="248">
        <f>'[6]Calcul sous cat &gt;20'!N18/100</f>
        <v>1.8492397619960493E-2</v>
      </c>
    </row>
    <row r="53" spans="1:10" ht="38.25" x14ac:dyDescent="0.25">
      <c r="A53" s="485" t="s">
        <v>69</v>
      </c>
      <c r="B53" s="18" t="s">
        <v>121</v>
      </c>
      <c r="C53" s="19">
        <f>'[6]F 4 TRI _ Granulo'!K40</f>
        <v>0</v>
      </c>
      <c r="D53" s="20">
        <f>'[6]F 4 TRI _ Granulo'!H40</f>
        <v>0</v>
      </c>
      <c r="E53" s="20">
        <f>'[6]F 4 TRI _ Granulo'!E40</f>
        <v>0</v>
      </c>
      <c r="F53" s="20">
        <f t="shared" si="1"/>
        <v>0</v>
      </c>
      <c r="G53" s="21">
        <f t="shared" si="0"/>
        <v>0</v>
      </c>
      <c r="H53" s="175">
        <f>G53*J53/I53</f>
        <v>0</v>
      </c>
      <c r="I53" s="488">
        <f>SUM(G53:G62)</f>
        <v>1.4430699508129765E-3</v>
      </c>
      <c r="J53" s="488">
        <f>'[6]Calcul sous cat &gt;20'!N19/100</f>
        <v>1.0412506652248937E-3</v>
      </c>
    </row>
    <row r="54" spans="1:10" ht="76.5" x14ac:dyDescent="0.25">
      <c r="A54" s="486"/>
      <c r="B54" s="18" t="s">
        <v>70</v>
      </c>
      <c r="C54" s="19">
        <f>'[6]F 4 TRI _ Granulo'!K41</f>
        <v>0</v>
      </c>
      <c r="D54" s="20">
        <f>'[6]F 4 TRI _ Granulo'!H41</f>
        <v>0</v>
      </c>
      <c r="E54" s="20">
        <f>'[6]F 4 TRI _ Granulo'!E41</f>
        <v>0</v>
      </c>
      <c r="F54" s="20">
        <f t="shared" si="1"/>
        <v>0</v>
      </c>
      <c r="G54" s="21">
        <f t="shared" si="0"/>
        <v>0</v>
      </c>
      <c r="H54" s="21">
        <f>G54*J53/I53</f>
        <v>0</v>
      </c>
      <c r="I54" s="488"/>
      <c r="J54" s="488"/>
    </row>
    <row r="55" spans="1:10" ht="25.5" x14ac:dyDescent="0.25">
      <c r="A55" s="486"/>
      <c r="B55" s="18" t="s">
        <v>71</v>
      </c>
      <c r="C55" s="19">
        <f>'[6]F 4 TRI _ Granulo'!K42</f>
        <v>0</v>
      </c>
      <c r="D55" s="20">
        <f>'[6]F 4 TRI _ Granulo'!H42</f>
        <v>0</v>
      </c>
      <c r="E55" s="20">
        <f>'[6]F 4 TRI _ Granulo'!E42</f>
        <v>0</v>
      </c>
      <c r="F55" s="20">
        <f>SUM(C55:E55)</f>
        <v>0</v>
      </c>
      <c r="G55" s="21">
        <f t="shared" si="0"/>
        <v>0</v>
      </c>
      <c r="H55" s="175">
        <f>G55*J53/I53</f>
        <v>0</v>
      </c>
      <c r="I55" s="488"/>
      <c r="J55" s="488"/>
    </row>
    <row r="56" spans="1:10" ht="38.25" x14ac:dyDescent="0.25">
      <c r="A56" s="486"/>
      <c r="B56" s="18" t="s">
        <v>72</v>
      </c>
      <c r="C56" s="19">
        <f>'[6]F 4 TRI _ Granulo'!K43</f>
        <v>0</v>
      </c>
      <c r="D56" s="20">
        <f>'[6]F 4 TRI _ Granulo'!H43</f>
        <v>0</v>
      </c>
      <c r="E56" s="20">
        <f>'[6]F 4 TRI _ Granulo'!E43</f>
        <v>0</v>
      </c>
      <c r="F56" s="20">
        <f t="shared" si="1"/>
        <v>0</v>
      </c>
      <c r="G56" s="21">
        <f>F56/$F$64</f>
        <v>0</v>
      </c>
      <c r="H56" s="175">
        <f>G56*J53/I53</f>
        <v>0</v>
      </c>
      <c r="I56" s="488"/>
      <c r="J56" s="488"/>
    </row>
    <row r="57" spans="1:10" ht="51" x14ac:dyDescent="0.25">
      <c r="A57" s="486"/>
      <c r="B57" s="18" t="s">
        <v>122</v>
      </c>
      <c r="C57" s="19">
        <f>'[6]F 4 TRI _ Granulo'!K44</f>
        <v>0</v>
      </c>
      <c r="D57" s="20">
        <f>'[6]F 4 TRI _ Granulo'!H44</f>
        <v>0</v>
      </c>
      <c r="E57" s="20">
        <f>'[6]F 4 TRI _ Granulo'!E44</f>
        <v>0</v>
      </c>
      <c r="F57" s="20">
        <f t="shared" si="1"/>
        <v>0</v>
      </c>
      <c r="G57" s="21">
        <f t="shared" ref="G57:G62" si="3">F57/$F$64</f>
        <v>0</v>
      </c>
      <c r="H57" s="175">
        <f>G57*J53/I53</f>
        <v>0</v>
      </c>
      <c r="I57" s="488"/>
      <c r="J57" s="488"/>
    </row>
    <row r="58" spans="1:10" ht="25.5" x14ac:dyDescent="0.25">
      <c r="A58" s="486"/>
      <c r="B58" s="18" t="s">
        <v>123</v>
      </c>
      <c r="C58" s="19">
        <f>'[6]F 4 TRI _ Granulo'!K45</f>
        <v>0</v>
      </c>
      <c r="D58" s="20">
        <f>'[6]F 4 TRI _ Granulo'!H45</f>
        <v>0</v>
      </c>
      <c r="E58" s="20">
        <f>'[6]F 4 TRI _ Granulo'!E45</f>
        <v>0</v>
      </c>
      <c r="F58" s="20">
        <f t="shared" si="1"/>
        <v>0</v>
      </c>
      <c r="G58" s="21">
        <f t="shared" si="3"/>
        <v>0</v>
      </c>
      <c r="H58" s="175">
        <f>G58*J53/I53</f>
        <v>0</v>
      </c>
      <c r="I58" s="488"/>
      <c r="J58" s="488"/>
    </row>
    <row r="59" spans="1:10" ht="25.5" x14ac:dyDescent="0.25">
      <c r="A59" s="486"/>
      <c r="B59" s="18" t="s">
        <v>124</v>
      </c>
      <c r="C59" s="19">
        <f>'[6]F 4 TRI _ Granulo'!K46</f>
        <v>0</v>
      </c>
      <c r="D59" s="20">
        <f>'[6]F 4 TRI _ Granulo'!H46</f>
        <v>0</v>
      </c>
      <c r="E59" s="20">
        <f>'[6]F 4 TRI _ Granulo'!E46</f>
        <v>0</v>
      </c>
      <c r="F59" s="20">
        <f t="shared" si="1"/>
        <v>0</v>
      </c>
      <c r="G59" s="21">
        <f t="shared" si="3"/>
        <v>0</v>
      </c>
      <c r="H59" s="175">
        <f>G59*J53/I53</f>
        <v>0</v>
      </c>
      <c r="I59" s="488"/>
      <c r="J59" s="488"/>
    </row>
    <row r="60" spans="1:10" ht="25.5" x14ac:dyDescent="0.25">
      <c r="A60" s="486"/>
      <c r="B60" s="18" t="s">
        <v>125</v>
      </c>
      <c r="C60" s="19">
        <f>'[6]F 4 TRI _ Granulo'!K47</f>
        <v>0</v>
      </c>
      <c r="D60" s="20">
        <f>'[6]F 4 TRI _ Granulo'!H47</f>
        <v>0</v>
      </c>
      <c r="E60" s="20">
        <f>'[6]F 4 TRI _ Granulo'!E47</f>
        <v>0</v>
      </c>
      <c r="F60" s="20">
        <f t="shared" si="1"/>
        <v>0</v>
      </c>
      <c r="G60" s="21">
        <f t="shared" si="3"/>
        <v>0</v>
      </c>
      <c r="H60" s="175">
        <f>G60*J53/I53</f>
        <v>0</v>
      </c>
      <c r="I60" s="488"/>
      <c r="J60" s="488"/>
    </row>
    <row r="61" spans="1:10" ht="38.25" x14ac:dyDescent="0.25">
      <c r="A61" s="486"/>
      <c r="B61" s="18" t="s">
        <v>126</v>
      </c>
      <c r="C61" s="19">
        <f>'[6]F 4 TRI _ Granulo'!K48</f>
        <v>0.11266409266409277</v>
      </c>
      <c r="D61" s="20">
        <f>'[6]F 4 TRI _ Granulo'!H48</f>
        <v>0</v>
      </c>
      <c r="E61" s="20">
        <f>'[6]F 4 TRI _ Granulo'!E48</f>
        <v>0</v>
      </c>
      <c r="F61" s="20">
        <f t="shared" si="1"/>
        <v>0.11266409266409277</v>
      </c>
      <c r="G61" s="21">
        <f t="shared" si="3"/>
        <v>1.4430699508129765E-3</v>
      </c>
      <c r="H61" s="249">
        <f>G61*J53/I53</f>
        <v>1.0412506652248937E-3</v>
      </c>
      <c r="I61" s="488"/>
      <c r="J61" s="488"/>
    </row>
    <row r="62" spans="1:10" ht="51" x14ac:dyDescent="0.25">
      <c r="A62" s="498"/>
      <c r="B62" s="18" t="s">
        <v>73</v>
      </c>
      <c r="C62" s="19">
        <f>'[6]F 4 TRI _ Granulo'!K49</f>
        <v>0</v>
      </c>
      <c r="D62" s="20">
        <f>'[6]F 4 TRI _ Granulo'!H49</f>
        <v>0</v>
      </c>
      <c r="E62" s="20">
        <f>'[6]F 4 TRI _ Granulo'!E49</f>
        <v>0</v>
      </c>
      <c r="F62" s="20">
        <f t="shared" si="1"/>
        <v>0</v>
      </c>
      <c r="G62" s="21">
        <f t="shared" si="3"/>
        <v>0</v>
      </c>
      <c r="H62" s="175">
        <f>G62*J53/I53</f>
        <v>0</v>
      </c>
      <c r="I62" s="488"/>
      <c r="J62" s="488"/>
    </row>
    <row r="63" spans="1:10" x14ac:dyDescent="0.25">
      <c r="A63" s="22" t="s">
        <v>74</v>
      </c>
      <c r="B63" s="23">
        <f>'[6]F 3 _ Criblage et Tri'!C27+'[6]F 3 _ Criblage et Tri'!D27</f>
        <v>7.2200000000000006</v>
      </c>
      <c r="C63" s="19">
        <f>'[6]F 4 TRI _ Granulo'!K50</f>
        <v>1.6899613899613917</v>
      </c>
      <c r="D63" s="20">
        <f>'[6]F 4 TRI _ Granulo'!H50</f>
        <v>0.5</v>
      </c>
      <c r="E63" s="20">
        <f>'[6]F 4 TRI _ Granulo'!E50</f>
        <v>0</v>
      </c>
      <c r="F63" s="19">
        <f>SUM(B63:E63)</f>
        <v>9.4099613899613921</v>
      </c>
      <c r="G63" s="21">
        <f t="shared" si="0"/>
        <v>0.12052848604257599</v>
      </c>
      <c r="H63" s="21">
        <f>J63</f>
        <v>5.9025343326947331E-2</v>
      </c>
      <c r="I63" s="24">
        <f>G63</f>
        <v>0.12052848604257599</v>
      </c>
      <c r="J63" s="24">
        <f>'[6]Calcul sous cat &gt;20'!N20/100</f>
        <v>5.9025343326947331E-2</v>
      </c>
    </row>
    <row r="64" spans="1:10" x14ac:dyDescent="0.25">
      <c r="A64" s="25" t="s">
        <v>25</v>
      </c>
      <c r="B64" s="90">
        <f>B63</f>
        <v>7.2200000000000006</v>
      </c>
      <c r="C64" s="19">
        <f>SUM(C18:C63)</f>
        <v>28.757509652509675</v>
      </c>
      <c r="D64" s="19">
        <f>SUM(D18:D63)</f>
        <v>23.575000000000003</v>
      </c>
      <c r="E64" s="19">
        <f>SUM(E18:E63)</f>
        <v>18.52</v>
      </c>
      <c r="F64" s="19">
        <f>SUM(B64:E64)</f>
        <v>78.07250965250968</v>
      </c>
      <c r="G64" s="21">
        <f t="shared" si="0"/>
        <v>1</v>
      </c>
      <c r="H64" s="21">
        <f>SUM(H18:H63)</f>
        <v>0.99999999999999989</v>
      </c>
      <c r="I64" s="24">
        <f>SUM(I18:I63)</f>
        <v>1</v>
      </c>
      <c r="J64" s="24">
        <f>SUM(J18:J63)</f>
        <v>1</v>
      </c>
    </row>
    <row r="65" spans="1:10" ht="51.75" x14ac:dyDescent="0.25">
      <c r="A65" s="26" t="s">
        <v>75</v>
      </c>
      <c r="B65" s="235">
        <f>B64/$F$64</f>
        <v>9.2478133880097582E-2</v>
      </c>
      <c r="C65" s="235">
        <f>C64/$F$64</f>
        <v>0.36834360494501217</v>
      </c>
      <c r="D65" s="235">
        <f>D64/$F$64</f>
        <v>0.30196288174837954</v>
      </c>
      <c r="E65" s="235">
        <f>E64/$F$64</f>
        <v>0.23721537942651066</v>
      </c>
      <c r="F65" s="235">
        <f>F64/$F$64</f>
        <v>1</v>
      </c>
      <c r="G65" s="1"/>
      <c r="H65" s="1"/>
      <c r="I65" s="1"/>
      <c r="J65" s="1"/>
    </row>
  </sheetData>
  <mergeCells count="40">
    <mergeCell ref="A53:A62"/>
    <mergeCell ref="I53:I62"/>
    <mergeCell ref="J53:J62"/>
    <mergeCell ref="A44:A45"/>
    <mergeCell ref="I44:I45"/>
    <mergeCell ref="J44:J45"/>
    <mergeCell ref="A46:A51"/>
    <mergeCell ref="I46:I51"/>
    <mergeCell ref="J46:J51"/>
    <mergeCell ref="A36:A37"/>
    <mergeCell ref="I36:I37"/>
    <mergeCell ref="J36:J37"/>
    <mergeCell ref="A38:A42"/>
    <mergeCell ref="I38:I42"/>
    <mergeCell ref="J38:J42"/>
    <mergeCell ref="A28:A30"/>
    <mergeCell ref="I28:I30"/>
    <mergeCell ref="J28:J30"/>
    <mergeCell ref="A31:A34"/>
    <mergeCell ref="I31:I34"/>
    <mergeCell ref="J31:J34"/>
    <mergeCell ref="A18:A22"/>
    <mergeCell ref="I18:I22"/>
    <mergeCell ref="J18:J22"/>
    <mergeCell ref="A23:A27"/>
    <mergeCell ref="I23:I27"/>
    <mergeCell ref="J23:J27"/>
    <mergeCell ref="D12:F12"/>
    <mergeCell ref="A14:J14"/>
    <mergeCell ref="G16:G17"/>
    <mergeCell ref="H16:H17"/>
    <mergeCell ref="I16:I17"/>
    <mergeCell ref="J16:J17"/>
    <mergeCell ref="B2:F2"/>
    <mergeCell ref="B11:C11"/>
    <mergeCell ref="D11:F11"/>
    <mergeCell ref="B3:F3"/>
    <mergeCell ref="A7:J7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4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sqref="A1:J65"/>
    </sheetView>
  </sheetViews>
  <sheetFormatPr baseColWidth="10" defaultRowHeight="15" x14ac:dyDescent="0.25"/>
  <cols>
    <col min="2" max="2" width="32.140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476" t="str">
        <f>'[7]F 1 _ Echant et Séchage'!D5</f>
        <v>STO-P15-PB-BAN</v>
      </c>
      <c r="C2" s="476"/>
      <c r="D2" s="476"/>
      <c r="E2" s="476"/>
      <c r="F2" s="476"/>
      <c r="G2" s="2"/>
      <c r="H2" s="2"/>
      <c r="I2" s="2"/>
      <c r="J2" s="2"/>
    </row>
    <row r="3" spans="1:10" x14ac:dyDescent="0.25">
      <c r="A3" s="1" t="s">
        <v>1</v>
      </c>
      <c r="B3" s="483" t="str">
        <f>'[7]F 1 _ Echant et Séchage'!D6</f>
        <v>CP-053-LS - Neuilly sur Seine Voies étroites</v>
      </c>
      <c r="C3" s="483"/>
      <c r="D3" s="483"/>
      <c r="E3" s="483"/>
      <c r="F3" s="483"/>
      <c r="G3" s="3"/>
      <c r="H3" s="3"/>
      <c r="I3" s="3"/>
      <c r="J3" s="3"/>
    </row>
    <row r="4" spans="1:10" x14ac:dyDescent="0.25">
      <c r="A4" s="1" t="s">
        <v>2</v>
      </c>
      <c r="B4" s="243"/>
      <c r="C4" s="243" t="str">
        <f>'[7]F 1 _ Echant et Séchage'!D8</f>
        <v>SAINT OUEN</v>
      </c>
      <c r="D4" s="243"/>
      <c r="E4" s="243"/>
      <c r="F4" s="243"/>
      <c r="G4" s="3"/>
      <c r="H4" s="3"/>
      <c r="I4" s="3"/>
      <c r="J4" s="3"/>
    </row>
    <row r="5" spans="1:10" x14ac:dyDescent="0.25">
      <c r="A5" s="1" t="s">
        <v>3</v>
      </c>
      <c r="B5" s="243"/>
      <c r="C5" s="243" t="str">
        <f>'[7]F 1 _ Echant et Séchage'!E15</f>
        <v>sec, ensoleillé</v>
      </c>
      <c r="D5" s="243"/>
      <c r="E5" s="243"/>
      <c r="F5" s="243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478" t="s">
        <v>4</v>
      </c>
      <c r="B7" s="478"/>
      <c r="C7" s="478"/>
      <c r="D7" s="478"/>
      <c r="E7" s="478"/>
      <c r="F7" s="478"/>
      <c r="G7" s="478"/>
      <c r="H7" s="478"/>
      <c r="I7" s="478"/>
      <c r="J7" s="478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'[7]F 1 _ Echant et Séchage'!B12</f>
        <v>42159</v>
      </c>
      <c r="C9" s="1"/>
      <c r="D9" s="477" t="s">
        <v>6</v>
      </c>
      <c r="E9" s="477"/>
      <c r="F9" s="477"/>
      <c r="G9" s="6">
        <f>'[7]F 1 _ Echant et Séchage'!G19</f>
        <v>124.14000000000001</v>
      </c>
      <c r="H9" s="6"/>
      <c r="I9" s="7"/>
      <c r="J9" s="1" t="s">
        <v>7</v>
      </c>
    </row>
    <row r="10" spans="1:10" x14ac:dyDescent="0.25">
      <c r="A10" s="1" t="s">
        <v>8</v>
      </c>
      <c r="B10" s="8" t="str">
        <f>'[7]F 1 _ Echant et Séchage'!E12</f>
        <v>9h35</v>
      </c>
      <c r="C10" s="1"/>
      <c r="D10" s="477" t="s">
        <v>9</v>
      </c>
      <c r="E10" s="477"/>
      <c r="F10" s="477"/>
      <c r="G10" s="243">
        <f>'[7]F 1 _ Echant et Séchage'!H26</f>
        <v>0.5</v>
      </c>
      <c r="H10" s="243"/>
      <c r="I10" s="9"/>
      <c r="J10" s="1" t="s">
        <v>10</v>
      </c>
    </row>
    <row r="11" spans="1:10" x14ac:dyDescent="0.25">
      <c r="A11" s="1"/>
      <c r="B11" s="477"/>
      <c r="C11" s="477"/>
      <c r="D11" s="477" t="s">
        <v>11</v>
      </c>
      <c r="E11" s="477"/>
      <c r="F11" s="477"/>
      <c r="G11" s="10">
        <f>G9/1000/G10</f>
        <v>0.24828000000000003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477" t="s">
        <v>13</v>
      </c>
      <c r="E12" s="477"/>
      <c r="F12" s="477"/>
      <c r="G12" s="237">
        <f>'[7]F 1 _ Echant et Séchage'!D51</f>
        <v>0.33906879329788941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478" t="s">
        <v>14</v>
      </c>
      <c r="B14" s="478"/>
      <c r="C14" s="478"/>
      <c r="D14" s="478"/>
      <c r="E14" s="478"/>
      <c r="F14" s="478"/>
      <c r="G14" s="478"/>
      <c r="H14" s="478"/>
      <c r="I14" s="478"/>
      <c r="J14" s="478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479" t="s">
        <v>16</v>
      </c>
      <c r="H16" s="481" t="s">
        <v>17</v>
      </c>
      <c r="I16" s="479" t="s">
        <v>18</v>
      </c>
      <c r="J16" s="481" t="s">
        <v>19</v>
      </c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0"/>
      <c r="H17" s="482"/>
      <c r="I17" s="480"/>
      <c r="J17" s="482"/>
    </row>
    <row r="18" spans="1:10" ht="15" customHeight="1" x14ac:dyDescent="0.25">
      <c r="A18" s="489" t="s">
        <v>26</v>
      </c>
      <c r="B18" s="18" t="s">
        <v>119</v>
      </c>
      <c r="C18" s="19">
        <f>'[7]F 4 TRI _ Granulo'!K5</f>
        <v>4.1113688212927775</v>
      </c>
      <c r="D18" s="20">
        <f>'[7]F 4 TRI _ Granulo'!H5</f>
        <v>3.0000000000000027E-2</v>
      </c>
      <c r="E18" s="20">
        <f>'[7]F 4 TRI _ Granulo'!E5</f>
        <v>0</v>
      </c>
      <c r="F18" s="20">
        <f>SUM(C18:E18)</f>
        <v>4.1413688212927777</v>
      </c>
      <c r="G18" s="21">
        <f t="shared" ref="G18:G64" si="0">F18/$F$64</f>
        <v>5.0341768276449615E-2</v>
      </c>
      <c r="H18" s="21">
        <f>G18*J18/I18</f>
        <v>0.11007529499152889</v>
      </c>
      <c r="I18" s="484">
        <f>G18+G19+G20+G21+G22</f>
        <v>8.2803376195800749E-2</v>
      </c>
      <c r="J18" s="484">
        <f>'[7]Calcul sous cat &gt;20'!N8/100</f>
        <v>0.1810545472100791</v>
      </c>
    </row>
    <row r="19" spans="1:10" x14ac:dyDescent="0.25">
      <c r="A19" s="490"/>
      <c r="B19" s="18" t="s">
        <v>27</v>
      </c>
      <c r="C19" s="19">
        <f>'[7]F 4 TRI _ Granulo'!K6</f>
        <v>1.2261977186311797</v>
      </c>
      <c r="D19" s="20">
        <f>'[7]F 4 TRI _ Granulo'!H6</f>
        <v>1.0500000000000003</v>
      </c>
      <c r="E19" s="20">
        <f>'[7]F 4 TRI _ Granulo'!E6</f>
        <v>0</v>
      </c>
      <c r="F19" s="20">
        <f>SUM(C19:E19)</f>
        <v>2.2761977186311801</v>
      </c>
      <c r="G19" s="21">
        <f t="shared" si="0"/>
        <v>2.7669068621360843E-2</v>
      </c>
      <c r="H19" s="21">
        <f>G19*J18/I18</f>
        <v>6.0500077667354227E-2</v>
      </c>
      <c r="I19" s="484"/>
      <c r="J19" s="484"/>
    </row>
    <row r="20" spans="1:10" x14ac:dyDescent="0.25">
      <c r="A20" s="490"/>
      <c r="B20" s="18" t="s">
        <v>28</v>
      </c>
      <c r="C20" s="19">
        <f>'[7]F 4 TRI _ Granulo'!K7</f>
        <v>0</v>
      </c>
      <c r="D20" s="20">
        <f>'[7]F 4 TRI _ Granulo'!H7</f>
        <v>0</v>
      </c>
      <c r="E20" s="20">
        <f>'[7]F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484"/>
      <c r="J20" s="484"/>
    </row>
    <row r="21" spans="1:10" x14ac:dyDescent="0.25">
      <c r="A21" s="490"/>
      <c r="B21" s="18" t="s">
        <v>29</v>
      </c>
      <c r="C21" s="19">
        <f>'[7]F 4 TRI _ Granulo'!K8</f>
        <v>0.14425855513307997</v>
      </c>
      <c r="D21" s="20">
        <f>'[7]F 4 TRI _ Granulo'!H8</f>
        <v>0.25</v>
      </c>
      <c r="E21" s="20">
        <f>'[7]F 4 TRI _ Granulo'!E8</f>
        <v>0</v>
      </c>
      <c r="F21" s="20">
        <f t="shared" si="1"/>
        <v>0.39425855513307995</v>
      </c>
      <c r="G21" s="21">
        <f t="shared" si="0"/>
        <v>4.7925392979902863E-3</v>
      </c>
      <c r="H21" s="21">
        <f>G21*J18/I18</f>
        <v>1.0479174551195973E-2</v>
      </c>
      <c r="I21" s="484"/>
      <c r="J21" s="484"/>
    </row>
    <row r="22" spans="1:10" x14ac:dyDescent="0.25">
      <c r="A22" s="491"/>
      <c r="B22" s="18" t="s">
        <v>30</v>
      </c>
      <c r="C22" s="19">
        <f>'[7]F 4 TRI _ Granulo'!K9</f>
        <v>0</v>
      </c>
      <c r="D22" s="20">
        <f>'[7]F 4 TRI _ Granulo'!H9</f>
        <v>0</v>
      </c>
      <c r="E22" s="20">
        <f>'[7]F 4 TRI _ Granulo'!E9</f>
        <v>0</v>
      </c>
      <c r="F22" s="20">
        <f t="shared" si="1"/>
        <v>0</v>
      </c>
      <c r="G22" s="21">
        <f t="shared" si="0"/>
        <v>0</v>
      </c>
      <c r="H22" s="21">
        <f>G22*J18/I18</f>
        <v>0</v>
      </c>
      <c r="I22" s="484"/>
      <c r="J22" s="484"/>
    </row>
    <row r="23" spans="1:10" x14ac:dyDescent="0.25">
      <c r="A23" s="485" t="s">
        <v>31</v>
      </c>
      <c r="B23" s="18" t="s">
        <v>32</v>
      </c>
      <c r="C23" s="19">
        <f>'[7]F 4 TRI _ Granulo'!K10</f>
        <v>0.93768060836501987</v>
      </c>
      <c r="D23" s="20">
        <f>'[7]F 4 TRI _ Granulo'!H10</f>
        <v>0.89000000000000012</v>
      </c>
      <c r="E23" s="20">
        <f>'[7]F 4 TRI _ Granulo'!E10</f>
        <v>0</v>
      </c>
      <c r="F23" s="20">
        <f t="shared" si="1"/>
        <v>1.8276806083650201</v>
      </c>
      <c r="G23" s="21">
        <f t="shared" si="0"/>
        <v>2.2216971643919101E-2</v>
      </c>
      <c r="H23" s="21">
        <f>'[7]Calcul sous cat &gt;20'!N32/100</f>
        <v>2.0382272514238506E-2</v>
      </c>
      <c r="I23" s="488">
        <f>G23+G24+G25+G26+G27</f>
        <v>0.20385971120340296</v>
      </c>
      <c r="J23" s="488">
        <f>'[7]Calcul sous cat &gt;20'!N9/100</f>
        <v>0.18267980439228027</v>
      </c>
    </row>
    <row r="24" spans="1:10" x14ac:dyDescent="0.25">
      <c r="A24" s="486"/>
      <c r="B24" s="18" t="s">
        <v>33</v>
      </c>
      <c r="C24" s="19">
        <f>'[7]F 4 TRI _ Granulo'!K11</f>
        <v>0.36064638783269992</v>
      </c>
      <c r="D24" s="20">
        <f>'[7]F 4 TRI _ Granulo'!H11</f>
        <v>6.15</v>
      </c>
      <c r="E24" s="20">
        <f>'[7]F 4 TRI _ Granulo'!E11</f>
        <v>0</v>
      </c>
      <c r="F24" s="20">
        <f t="shared" si="1"/>
        <v>6.5106463878327006</v>
      </c>
      <c r="G24" s="21">
        <f t="shared" si="0"/>
        <v>7.9142299546231712E-2</v>
      </c>
      <c r="H24" s="21">
        <f>'[7]Calcul sous cat &gt;20'!N33/100</f>
        <v>7.0232838081214916E-2</v>
      </c>
      <c r="I24" s="488"/>
      <c r="J24" s="488"/>
    </row>
    <row r="25" spans="1:10" x14ac:dyDescent="0.25">
      <c r="A25" s="486"/>
      <c r="B25" s="18" t="s">
        <v>34</v>
      </c>
      <c r="C25" s="19">
        <f>'[7]F 4 TRI _ Granulo'!K12</f>
        <v>0</v>
      </c>
      <c r="D25" s="20">
        <f>'[7]F 4 TRI _ Granulo'!H12</f>
        <v>0.4700000000000002</v>
      </c>
      <c r="E25" s="20">
        <f>'[7]F 4 TRI _ Granulo'!E12</f>
        <v>0</v>
      </c>
      <c r="F25" s="20">
        <f t="shared" si="1"/>
        <v>0.4700000000000002</v>
      </c>
      <c r="G25" s="21">
        <f t="shared" si="0"/>
        <v>5.7132392962154438E-3</v>
      </c>
      <c r="H25" s="21">
        <f>'[7]Calcul sous cat &gt;20'!N34/100</f>
        <v>5.0700701484663793E-3</v>
      </c>
      <c r="I25" s="488"/>
      <c r="J25" s="488"/>
    </row>
    <row r="26" spans="1:10" x14ac:dyDescent="0.25">
      <c r="A26" s="486"/>
      <c r="B26" s="18" t="s">
        <v>35</v>
      </c>
      <c r="C26" s="19">
        <f>'[7]F 4 TRI _ Granulo'!K13</f>
        <v>2.8130418250950577</v>
      </c>
      <c r="D26" s="20">
        <f>'[7]F 4 TRI _ Granulo'!H13</f>
        <v>4.09</v>
      </c>
      <c r="E26" s="20">
        <f>'[7]F 4 TRI _ Granulo'!E13</f>
        <v>0</v>
      </c>
      <c r="F26" s="20">
        <f t="shared" si="1"/>
        <v>6.9030418250950571</v>
      </c>
      <c r="G26" s="21">
        <f t="shared" si="0"/>
        <v>8.3912191103301781E-2</v>
      </c>
      <c r="H26" s="21">
        <f>'[7]Calcul sous cat &gt;20'!N35/100</f>
        <v>7.5210344781563562E-2</v>
      </c>
      <c r="I26" s="488"/>
      <c r="J26" s="488"/>
    </row>
    <row r="27" spans="1:10" x14ac:dyDescent="0.25">
      <c r="A27" s="487"/>
      <c r="B27" s="18" t="s">
        <v>36</v>
      </c>
      <c r="C27" s="19">
        <f>'[7]F 4 TRI _ Granulo'!K14</f>
        <v>0.64916349809885987</v>
      </c>
      <c r="D27" s="20">
        <f>'[7]F 4 TRI _ Granulo'!H14</f>
        <v>0.41000000000000014</v>
      </c>
      <c r="E27" s="20">
        <f>'[7]F 4 TRI _ Granulo'!E14</f>
        <v>0</v>
      </c>
      <c r="F27" s="20">
        <f t="shared" si="1"/>
        <v>1.05916349809886</v>
      </c>
      <c r="G27" s="21">
        <f t="shared" si="0"/>
        <v>1.2875009613734927E-2</v>
      </c>
      <c r="H27" s="21">
        <f>'[7]Calcul sous cat &gt;20'!N36/100</f>
        <v>1.1784278866796899E-2</v>
      </c>
      <c r="I27" s="488"/>
      <c r="J27" s="488"/>
    </row>
    <row r="28" spans="1:10" x14ac:dyDescent="0.25">
      <c r="A28" s="485" t="s">
        <v>37</v>
      </c>
      <c r="B28" s="18" t="s">
        <v>38</v>
      </c>
      <c r="C28" s="19">
        <f>'[7]F 4 TRI _ Granulo'!K15</f>
        <v>2.0917490494296582</v>
      </c>
      <c r="D28" s="20">
        <f>'[7]F 4 TRI _ Granulo'!H15</f>
        <v>2.3800000000000003</v>
      </c>
      <c r="E28" s="20">
        <f>'[7]F 4 TRI _ Granulo'!E15</f>
        <v>0</v>
      </c>
      <c r="F28" s="20">
        <f t="shared" si="1"/>
        <v>4.4717490494296586</v>
      </c>
      <c r="G28" s="21">
        <f t="shared" si="0"/>
        <v>5.4357813600033132E-2</v>
      </c>
      <c r="H28" s="21">
        <f>'[7]Calcul sous cat &gt;20'!N37/100</f>
        <v>4.8619886123075468E-2</v>
      </c>
      <c r="I28" s="488">
        <f>G28+G29+G30</f>
        <v>0.11108162282803544</v>
      </c>
      <c r="J28" s="488">
        <f>'[7]Calcul sous cat &gt;20'!N10/100</f>
        <v>9.9551774658008352E-2</v>
      </c>
    </row>
    <row r="29" spans="1:10" x14ac:dyDescent="0.25">
      <c r="A29" s="486"/>
      <c r="B29" s="18" t="s">
        <v>39</v>
      </c>
      <c r="C29" s="19">
        <f>'[7]F 4 TRI _ Granulo'!K16</f>
        <v>0</v>
      </c>
      <c r="D29" s="20">
        <f>'[7]F 4 TRI _ Granulo'!H16</f>
        <v>1.7400000000000002</v>
      </c>
      <c r="E29" s="20">
        <f>'[7]F 4 TRI _ Granulo'!E16</f>
        <v>2.2000000000000002</v>
      </c>
      <c r="F29" s="20">
        <f t="shared" si="1"/>
        <v>3.9400000000000004</v>
      </c>
      <c r="G29" s="21">
        <f t="shared" si="0"/>
        <v>4.7893963461891148E-2</v>
      </c>
      <c r="H29" s="21">
        <f>'[7]Calcul sous cat &gt;20'!N38/100</f>
        <v>4.2866647430504015E-2</v>
      </c>
      <c r="I29" s="488"/>
      <c r="J29" s="488"/>
    </row>
    <row r="30" spans="1:10" x14ac:dyDescent="0.25">
      <c r="A30" s="487"/>
      <c r="B30" s="18" t="s">
        <v>40</v>
      </c>
      <c r="C30" s="19">
        <f>'[7]F 4 TRI _ Granulo'!K17</f>
        <v>0.21638783269961998</v>
      </c>
      <c r="D30" s="20">
        <f>'[7]F 4 TRI _ Granulo'!H17</f>
        <v>0.51000000000000023</v>
      </c>
      <c r="E30" s="20">
        <f>'[7]F 4 TRI _ Granulo'!E17</f>
        <v>0</v>
      </c>
      <c r="F30" s="20">
        <f t="shared" si="1"/>
        <v>0.72638783269962026</v>
      </c>
      <c r="G30" s="21">
        <f t="shared" si="0"/>
        <v>8.8298457661111444E-3</v>
      </c>
      <c r="H30" s="21">
        <f>'[7]Calcul sous cat &gt;20'!N39/100</f>
        <v>8.0652411044288812E-3</v>
      </c>
      <c r="I30" s="488"/>
      <c r="J30" s="488"/>
    </row>
    <row r="31" spans="1:10" ht="15" customHeight="1" x14ac:dyDescent="0.25">
      <c r="A31" s="492" t="s">
        <v>41</v>
      </c>
      <c r="B31" s="18" t="s">
        <v>42</v>
      </c>
      <c r="C31" s="19">
        <f>'[7]F 4 TRI _ Granulo'!K18</f>
        <v>0</v>
      </c>
      <c r="D31" s="20">
        <f>'[7]F 4 TRI _ Granulo'!H18</f>
        <v>0.17000000000000015</v>
      </c>
      <c r="E31" s="20">
        <f>'[7]F 4 TRI _ Granulo'!E18</f>
        <v>0</v>
      </c>
      <c r="F31" s="20">
        <f t="shared" si="1"/>
        <v>0.17000000000000015</v>
      </c>
      <c r="G31" s="21">
        <f t="shared" si="0"/>
        <v>2.0664908092694169E-3</v>
      </c>
      <c r="H31" s="249">
        <f>G31*J31/I31</f>
        <v>2.3312921788331718E-3</v>
      </c>
      <c r="I31" s="495">
        <f>G31+G32+G33+G34</f>
        <v>1.2996567896633129E-2</v>
      </c>
      <c r="J31" s="495">
        <f>'[7]Calcul sous cat &gt;20'!N11/100</f>
        <v>1.4661955888304618E-2</v>
      </c>
    </row>
    <row r="32" spans="1:10" x14ac:dyDescent="0.25">
      <c r="A32" s="493"/>
      <c r="B32" s="18" t="s">
        <v>43</v>
      </c>
      <c r="C32" s="19">
        <f>'[7]F 4 TRI _ Granulo'!K19</f>
        <v>0.64916349809885987</v>
      </c>
      <c r="D32" s="20">
        <f>'[7]F 4 TRI _ Granulo'!H19</f>
        <v>0.25</v>
      </c>
      <c r="E32" s="20">
        <f>'[7]F 4 TRI _ Granulo'!E19</f>
        <v>0</v>
      </c>
      <c r="F32" s="20">
        <f t="shared" si="1"/>
        <v>0.89916349809885987</v>
      </c>
      <c r="G32" s="21">
        <f t="shared" si="0"/>
        <v>1.0930077087363712E-2</v>
      </c>
      <c r="H32" s="249">
        <f>G32*J31/I31</f>
        <v>1.2330663709471446E-2</v>
      </c>
      <c r="I32" s="496"/>
      <c r="J32" s="496"/>
    </row>
    <row r="33" spans="1:10" ht="25.5" x14ac:dyDescent="0.25">
      <c r="A33" s="493"/>
      <c r="B33" s="18" t="s">
        <v>44</v>
      </c>
      <c r="C33" s="19">
        <f>'[7]F 4 TRI _ Granulo'!K20</f>
        <v>0</v>
      </c>
      <c r="D33" s="20">
        <f>'[7]F 4 TRI _ Granulo'!H20</f>
        <v>0</v>
      </c>
      <c r="E33" s="20">
        <f>'[7]F 4 TRI _ Granulo'!E20</f>
        <v>0</v>
      </c>
      <c r="F33" s="20">
        <f t="shared" si="1"/>
        <v>0</v>
      </c>
      <c r="G33" s="21">
        <f t="shared" si="0"/>
        <v>0</v>
      </c>
      <c r="H33" s="249">
        <f>G33*J31/I31</f>
        <v>0</v>
      </c>
      <c r="I33" s="496"/>
      <c r="J33" s="496"/>
    </row>
    <row r="34" spans="1:10" x14ac:dyDescent="0.25">
      <c r="A34" s="494"/>
      <c r="B34" s="18" t="s">
        <v>120</v>
      </c>
      <c r="C34" s="19">
        <f>'[7]F 4 TRI _ Granulo'!K21</f>
        <v>0</v>
      </c>
      <c r="D34" s="20">
        <f>'[7]F 4 TRI _ Granulo'!H21</f>
        <v>0</v>
      </c>
      <c r="E34" s="20">
        <f>'[7]F 4 TRI _ Granulo'!E21</f>
        <v>0</v>
      </c>
      <c r="F34" s="20">
        <f t="shared" si="1"/>
        <v>0</v>
      </c>
      <c r="G34" s="21">
        <f t="shared" si="0"/>
        <v>0</v>
      </c>
      <c r="H34" s="249">
        <f>G34*J31/I31</f>
        <v>0</v>
      </c>
      <c r="I34" s="497"/>
      <c r="J34" s="497"/>
    </row>
    <row r="35" spans="1:10" ht="15" customHeight="1" x14ac:dyDescent="0.25">
      <c r="A35" s="244" t="s">
        <v>45</v>
      </c>
      <c r="B35" s="18" t="s">
        <v>46</v>
      </c>
      <c r="C35" s="19">
        <f>'[7]F 4 TRI _ Granulo'!K22</f>
        <v>0.93768060836501987</v>
      </c>
      <c r="D35" s="20">
        <f>'[7]F 4 TRI _ Granulo'!H22</f>
        <v>2.0300000000000002</v>
      </c>
      <c r="E35" s="20">
        <f>'[7]F 4 TRI _ Granulo'!E22</f>
        <v>0</v>
      </c>
      <c r="F35" s="20">
        <f t="shared" si="1"/>
        <v>2.9676806083650202</v>
      </c>
      <c r="G35" s="21">
        <f t="shared" si="0"/>
        <v>3.6074615894314002E-2</v>
      </c>
      <c r="H35" s="21">
        <f>'[7]Calcul sous cat &gt;20'!N43/100</f>
        <v>3.2306084287571459E-2</v>
      </c>
      <c r="I35" s="245">
        <f>G35</f>
        <v>3.6074615894314002E-2</v>
      </c>
      <c r="J35" s="245">
        <f>'[7]Calcul sous cat &gt;20'!N12/100</f>
        <v>3.2306084287571459E-2</v>
      </c>
    </row>
    <row r="36" spans="1:10" ht="15" customHeight="1" x14ac:dyDescent="0.25">
      <c r="A36" s="485" t="s">
        <v>47</v>
      </c>
      <c r="B36" s="18" t="s">
        <v>48</v>
      </c>
      <c r="C36" s="19">
        <f>'[7]F 4 TRI _ Granulo'!K23</f>
        <v>5.8424714828897342</v>
      </c>
      <c r="D36" s="20">
        <f>'[7]F 4 TRI _ Granulo'!H23</f>
        <v>0.27</v>
      </c>
      <c r="E36" s="20">
        <f>'[7]F 4 TRI _ Granulo'!E23</f>
        <v>0</v>
      </c>
      <c r="F36" s="20">
        <f t="shared" si="1"/>
        <v>6.1124714828897346</v>
      </c>
      <c r="G36" s="21">
        <f t="shared" si="0"/>
        <v>7.4302153772429574E-2</v>
      </c>
      <c r="H36" s="21">
        <f>'[7]Calcul sous cat &gt;20'!N44/100</f>
        <v>6.8717877034650363E-2</v>
      </c>
      <c r="I36" s="488">
        <f>G36+G37</f>
        <v>0.14032262954877561</v>
      </c>
      <c r="J36" s="488">
        <f>'[7]Calcul sous cat &gt;20'!N13/100</f>
        <v>0.12911566416946083</v>
      </c>
    </row>
    <row r="37" spans="1:10" ht="25.5" x14ac:dyDescent="0.25">
      <c r="A37" s="487"/>
      <c r="B37" s="18" t="s">
        <v>49</v>
      </c>
      <c r="C37" s="19">
        <f>'[7]F 4 TRI _ Granulo'!K24</f>
        <v>5.1211787072243338</v>
      </c>
      <c r="D37" s="20">
        <f>'[7]F 4 TRI _ Granulo'!H24</f>
        <v>0.31000000000000005</v>
      </c>
      <c r="E37" s="20">
        <f>'[7]F 4 TRI _ Granulo'!E24</f>
        <v>0</v>
      </c>
      <c r="F37" s="20">
        <f t="shared" si="1"/>
        <v>5.4311787072243334</v>
      </c>
      <c r="G37" s="21">
        <f t="shared" si="0"/>
        <v>6.6020475776346038E-2</v>
      </c>
      <c r="H37" s="21">
        <f>'[7]Calcul sous cat &gt;20'!N45/100</f>
        <v>6.0397787134810456E-2</v>
      </c>
      <c r="I37" s="488"/>
      <c r="J37" s="488"/>
    </row>
    <row r="38" spans="1:10" x14ac:dyDescent="0.25">
      <c r="A38" s="485" t="s">
        <v>50</v>
      </c>
      <c r="B38" s="18" t="s">
        <v>51</v>
      </c>
      <c r="C38" s="19">
        <f>'[7]F 4 TRI _ Granulo'!K25</f>
        <v>1.0819391634980997</v>
      </c>
      <c r="D38" s="20">
        <f>'[7]F 4 TRI _ Granulo'!H25</f>
        <v>5.17</v>
      </c>
      <c r="E38" s="20">
        <f>'[7]F 4 TRI _ Granulo'!E25</f>
        <v>0</v>
      </c>
      <c r="F38" s="20">
        <f t="shared" si="1"/>
        <v>6.2519391634980996</v>
      </c>
      <c r="G38" s="21">
        <f t="shared" si="0"/>
        <v>7.5997498949884335E-2</v>
      </c>
      <c r="H38" s="21">
        <f>'[7]Calcul sous cat &gt;20'!N46/100</f>
        <v>7.8156499545073269E-2</v>
      </c>
      <c r="I38" s="488">
        <f>G38+G39+G40+G41+G42</f>
        <v>0.17726201938720573</v>
      </c>
      <c r="J38" s="488">
        <f>'[7]Calcul sous cat &gt;20'!N14/100</f>
        <v>0.17909556042178543</v>
      </c>
    </row>
    <row r="39" spans="1:10" x14ac:dyDescent="0.25">
      <c r="A39" s="486"/>
      <c r="B39" s="18" t="s">
        <v>52</v>
      </c>
      <c r="C39" s="19">
        <f>'[7]F 4 TRI _ Granulo'!K26</f>
        <v>0.36064638783269992</v>
      </c>
      <c r="D39" s="20">
        <f>'[7]F 4 TRI _ Granulo'!H26</f>
        <v>0.81</v>
      </c>
      <c r="E39" s="20">
        <f>'[7]F 4 TRI _ Granulo'!E26</f>
        <v>0</v>
      </c>
      <c r="F39" s="20">
        <f t="shared" si="1"/>
        <v>1.1706463878327</v>
      </c>
      <c r="G39" s="21">
        <f t="shared" si="0"/>
        <v>1.4230176478592434E-2</v>
      </c>
      <c r="H39" s="21">
        <f>'[7]Calcul sous cat &gt;20'!N47/100</f>
        <v>1.3083107110671099E-2</v>
      </c>
      <c r="I39" s="488"/>
      <c r="J39" s="488"/>
    </row>
    <row r="40" spans="1:10" ht="25.5" x14ac:dyDescent="0.25">
      <c r="A40" s="486"/>
      <c r="B40" s="18" t="s">
        <v>53</v>
      </c>
      <c r="C40" s="19">
        <f>'[7]F 4 TRI _ Granulo'!K27</f>
        <v>0.79342205323193982</v>
      </c>
      <c r="D40" s="20">
        <f>'[7]F 4 TRI _ Granulo'!H27</f>
        <v>0.43000000000000016</v>
      </c>
      <c r="E40" s="20">
        <f>'[7]F 4 TRI _ Granulo'!E27</f>
        <v>0</v>
      </c>
      <c r="F40" s="20">
        <f t="shared" si="1"/>
        <v>1.22342205323194</v>
      </c>
      <c r="G40" s="21">
        <f t="shared" si="0"/>
        <v>1.4871708405066594E-2</v>
      </c>
      <c r="H40" s="21">
        <f>'[7]Calcul sous cat &gt;20'!N48/100</f>
        <v>1.3671119032477801E-2</v>
      </c>
      <c r="I40" s="488"/>
      <c r="J40" s="488"/>
    </row>
    <row r="41" spans="1:10" x14ac:dyDescent="0.25">
      <c r="A41" s="486"/>
      <c r="B41" s="18" t="s">
        <v>54</v>
      </c>
      <c r="C41" s="19">
        <f>'[7]F 4 TRI _ Granulo'!K28</f>
        <v>1.8032319391634981</v>
      </c>
      <c r="D41" s="20">
        <f>'[7]F 4 TRI _ Granulo'!H28</f>
        <v>1.1400000000000006</v>
      </c>
      <c r="E41" s="20">
        <f>'[7]F 4 TRI _ Granulo'!E28</f>
        <v>0</v>
      </c>
      <c r="F41" s="20">
        <f t="shared" si="1"/>
        <v>2.9432319391634989</v>
      </c>
      <c r="G41" s="21">
        <f t="shared" si="0"/>
        <v>3.5777422069585695E-2</v>
      </c>
      <c r="H41" s="21">
        <f>'[7]Calcul sous cat &gt;20'!N49/100</f>
        <v>3.6778429963753904E-2</v>
      </c>
      <c r="I41" s="488"/>
      <c r="J41" s="488"/>
    </row>
    <row r="42" spans="1:10" x14ac:dyDescent="0.25">
      <c r="A42" s="487"/>
      <c r="B42" s="18" t="s">
        <v>55</v>
      </c>
      <c r="C42" s="19">
        <f>'[7]F 4 TRI _ Granulo'!K29</f>
        <v>1.8032319391634981</v>
      </c>
      <c r="D42" s="20">
        <f>'[7]F 4 TRI _ Granulo'!H29</f>
        <v>0.89000000000000012</v>
      </c>
      <c r="E42" s="20">
        <f>'[7]F 4 TRI _ Granulo'!E29</f>
        <v>0.3</v>
      </c>
      <c r="F42" s="20">
        <f t="shared" si="1"/>
        <v>2.9932319391634978</v>
      </c>
      <c r="G42" s="21">
        <f t="shared" si="0"/>
        <v>3.6385213484076688E-2</v>
      </c>
      <c r="H42" s="21">
        <f>'[7]Calcul sous cat &gt;20'!N50/100</f>
        <v>3.7406404769809366E-2</v>
      </c>
      <c r="I42" s="488"/>
      <c r="J42" s="488"/>
    </row>
    <row r="43" spans="1:10" ht="38.25" x14ac:dyDescent="0.25">
      <c r="A43" s="244" t="s">
        <v>56</v>
      </c>
      <c r="B43" s="18" t="s">
        <v>56</v>
      </c>
      <c r="C43" s="19">
        <f>'[7]F 4 TRI _ Granulo'!K30</f>
        <v>0.79342205323193982</v>
      </c>
      <c r="D43" s="20">
        <f>'[7]F 4 TRI _ Granulo'!H30</f>
        <v>1.29</v>
      </c>
      <c r="E43" s="20">
        <f>'[7]F 4 TRI _ Granulo'!E30</f>
        <v>0</v>
      </c>
      <c r="F43" s="20">
        <f t="shared" si="1"/>
        <v>2.0834220532319399</v>
      </c>
      <c r="G43" s="21">
        <f t="shared" si="0"/>
        <v>2.5325720734311868E-2</v>
      </c>
      <c r="H43" s="21">
        <f>J43</f>
        <v>2.3160751130252785E-2</v>
      </c>
      <c r="I43" s="245">
        <f>G43</f>
        <v>2.5325720734311868E-2</v>
      </c>
      <c r="J43" s="245">
        <f>'[7]Calcul sous cat &gt;20'!N15/100</f>
        <v>2.3160751130252785E-2</v>
      </c>
    </row>
    <row r="44" spans="1:10" ht="25.5" x14ac:dyDescent="0.25">
      <c r="A44" s="485" t="s">
        <v>57</v>
      </c>
      <c r="B44" s="18" t="s">
        <v>58</v>
      </c>
      <c r="C44" s="19">
        <f>'[7]F 4 TRI _ Granulo'!K31</f>
        <v>0</v>
      </c>
      <c r="D44" s="20">
        <f>'[7]F 4 TRI _ Granulo'!H31</f>
        <v>3.65</v>
      </c>
      <c r="E44" s="20">
        <f>'[7]F 4 TRI _ Granulo'!E31</f>
        <v>0</v>
      </c>
      <c r="F44" s="20">
        <f t="shared" si="1"/>
        <v>3.65</v>
      </c>
      <c r="G44" s="21">
        <f t="shared" si="0"/>
        <v>4.4368773257843316E-2</v>
      </c>
      <c r="H44" s="21">
        <f>G44*J44/I44</f>
        <v>3.9693329472415835E-2</v>
      </c>
      <c r="I44" s="488">
        <f>G44+G45</f>
        <v>7.1549297753639898E-2</v>
      </c>
      <c r="J44" s="488">
        <f>'[7]Calcul sous cat &gt;20'!N16/100</f>
        <v>6.4009654554809281E-2</v>
      </c>
    </row>
    <row r="45" spans="1:10" x14ac:dyDescent="0.25">
      <c r="A45" s="487"/>
      <c r="B45" s="18" t="s">
        <v>59</v>
      </c>
      <c r="C45" s="19">
        <f>'[7]F 4 TRI _ Granulo'!K32</f>
        <v>2.2360076045627379</v>
      </c>
      <c r="D45" s="20">
        <f>'[7]F 4 TRI _ Granulo'!H32</f>
        <v>0</v>
      </c>
      <c r="E45" s="20">
        <f>'[7]F 4 TRI _ Granulo'!E32</f>
        <v>0</v>
      </c>
      <c r="F45" s="20">
        <f t="shared" si="1"/>
        <v>2.2360076045627379</v>
      </c>
      <c r="G45" s="21">
        <f t="shared" si="0"/>
        <v>2.7180524495796578E-2</v>
      </c>
      <c r="H45" s="21">
        <f>G45*J44/I44</f>
        <v>2.4316325082393443E-2</v>
      </c>
      <c r="I45" s="488"/>
      <c r="J45" s="488"/>
    </row>
    <row r="46" spans="1:10" ht="25.5" x14ac:dyDescent="0.25">
      <c r="A46" s="485" t="s">
        <v>60</v>
      </c>
      <c r="B46" s="18" t="s">
        <v>61</v>
      </c>
      <c r="C46" s="19">
        <f>'[7]F 4 TRI _ Granulo'!K33</f>
        <v>0.79342205323193982</v>
      </c>
      <c r="D46" s="20">
        <f>'[7]F 4 TRI _ Granulo'!H33</f>
        <v>0.53000000000000025</v>
      </c>
      <c r="E46" s="20">
        <f>'[7]F 4 TRI _ Granulo'!E33</f>
        <v>0</v>
      </c>
      <c r="F46" s="20">
        <f t="shared" si="1"/>
        <v>1.3234220532319401</v>
      </c>
      <c r="G46" s="21">
        <f t="shared" si="0"/>
        <v>1.6087291234048604E-2</v>
      </c>
      <c r="H46" s="21">
        <f t="shared" ref="H46:H51" si="2">G46*$J$46/$I$46</f>
        <v>1.4859309807487332E-2</v>
      </c>
      <c r="I46" s="488">
        <f>G46+G47+G50+G51+G48+G49</f>
        <v>4.9341801185003795E-2</v>
      </c>
      <c r="J46" s="488">
        <f>'[7]Calcul sous cat &gt;20'!N17/100</f>
        <v>4.557542345697313E-2</v>
      </c>
    </row>
    <row r="47" spans="1:10" x14ac:dyDescent="0.25">
      <c r="A47" s="486"/>
      <c r="B47" s="18" t="s">
        <v>62</v>
      </c>
      <c r="C47" s="19">
        <f>'[7]F 4 TRI _ Granulo'!K34</f>
        <v>0.50490494296577992</v>
      </c>
      <c r="D47" s="20">
        <f>'[7]F 4 TRI _ Granulo'!H34</f>
        <v>1.0000000000000009E-2</v>
      </c>
      <c r="E47" s="20">
        <f>'[7]F 4 TRI _ Granulo'!E34</f>
        <v>0</v>
      </c>
      <c r="F47" s="20">
        <f t="shared" si="1"/>
        <v>0.51490494296577993</v>
      </c>
      <c r="G47" s="21">
        <f t="shared" si="0"/>
        <v>6.2590960722716266E-3</v>
      </c>
      <c r="H47" s="21">
        <f t="shared" si="2"/>
        <v>5.7813242950351517E-3</v>
      </c>
      <c r="I47" s="488"/>
      <c r="J47" s="488"/>
    </row>
    <row r="48" spans="1:10" x14ac:dyDescent="0.25">
      <c r="A48" s="486"/>
      <c r="B48" s="18" t="s">
        <v>63</v>
      </c>
      <c r="C48" s="19">
        <f>'[7]F 4 TRI _ Granulo'!K35</f>
        <v>0</v>
      </c>
      <c r="D48" s="20">
        <f>'[7]F 4 TRI _ Granulo'!H35</f>
        <v>0</v>
      </c>
      <c r="E48" s="20">
        <f>'[7]F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488"/>
      <c r="J48" s="488"/>
    </row>
    <row r="49" spans="1:10" x14ac:dyDescent="0.25">
      <c r="A49" s="486"/>
      <c r="B49" s="18" t="s">
        <v>64</v>
      </c>
      <c r="C49" s="19">
        <f>'[7]F 4 TRI _ Granulo'!K36</f>
        <v>0</v>
      </c>
      <c r="D49" s="20">
        <f>'[7]F 4 TRI _ Granulo'!H36</f>
        <v>0</v>
      </c>
      <c r="E49" s="20">
        <f>'[7]F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488"/>
      <c r="J49" s="488"/>
    </row>
    <row r="50" spans="1:10" x14ac:dyDescent="0.25">
      <c r="A50" s="486"/>
      <c r="B50" s="18" t="s">
        <v>65</v>
      </c>
      <c r="C50" s="19">
        <f>'[7]F 4 TRI _ Granulo'!K37</f>
        <v>3.6064638783270792E-2</v>
      </c>
      <c r="D50" s="20">
        <f>'[7]F 4 TRI _ Granulo'!H37</f>
        <v>3.0000000000000027E-2</v>
      </c>
      <c r="E50" s="20">
        <f>'[7]F 4 TRI _ Granulo'!E37</f>
        <v>0</v>
      </c>
      <c r="F50" s="20">
        <f t="shared" si="1"/>
        <v>6.6064638783270818E-2</v>
      </c>
      <c r="G50" s="21">
        <f t="shared" si="0"/>
        <v>8.0307040507842872E-4</v>
      </c>
      <c r="H50" s="21">
        <f t="shared" si="2"/>
        <v>7.4177011982156976E-4</v>
      </c>
      <c r="I50" s="488"/>
      <c r="J50" s="488"/>
    </row>
    <row r="51" spans="1:10" x14ac:dyDescent="0.25">
      <c r="A51" s="487"/>
      <c r="B51" s="18" t="s">
        <v>66</v>
      </c>
      <c r="C51" s="19">
        <f>'[7]F 4 TRI _ Granulo'!K38</f>
        <v>1.5147148288973398</v>
      </c>
      <c r="D51" s="20">
        <f>'[7]F 4 TRI _ Granulo'!H38</f>
        <v>0</v>
      </c>
      <c r="E51" s="20">
        <f>'[7]F 4 TRI _ Granulo'!E38</f>
        <v>0.64</v>
      </c>
      <c r="F51" s="20">
        <f t="shared" si="1"/>
        <v>2.1547148288973399</v>
      </c>
      <c r="G51" s="21">
        <f t="shared" si="0"/>
        <v>2.6192343473605134E-2</v>
      </c>
      <c r="H51" s="21">
        <f t="shared" si="2"/>
        <v>2.4193019234629076E-2</v>
      </c>
      <c r="I51" s="488"/>
      <c r="J51" s="488"/>
    </row>
    <row r="52" spans="1:10" ht="15" customHeight="1" x14ac:dyDescent="0.25">
      <c r="A52" s="247" t="s">
        <v>67</v>
      </c>
      <c r="B52" s="18" t="s">
        <v>68</v>
      </c>
      <c r="C52" s="19">
        <f>'[7]F 4 TRI _ Granulo'!K39</f>
        <v>0</v>
      </c>
      <c r="D52" s="20">
        <f>'[7]F 4 TRI _ Granulo'!H39</f>
        <v>0</v>
      </c>
      <c r="E52" s="20">
        <f>'[7]F 4 TRI _ Granulo'!E39</f>
        <v>0</v>
      </c>
      <c r="F52" s="20">
        <f t="shared" si="1"/>
        <v>0</v>
      </c>
      <c r="G52" s="21">
        <f t="shared" si="0"/>
        <v>0</v>
      </c>
      <c r="H52" s="21">
        <f>J52</f>
        <v>0</v>
      </c>
      <c r="I52" s="248">
        <f>G52</f>
        <v>0</v>
      </c>
      <c r="J52" s="248">
        <f>'[7]Calcul sous cat &gt;20'!N18/100</f>
        <v>0</v>
      </c>
    </row>
    <row r="53" spans="1:10" ht="15" customHeight="1" x14ac:dyDescent="0.25">
      <c r="A53" s="485" t="s">
        <v>69</v>
      </c>
      <c r="B53" s="18" t="s">
        <v>121</v>
      </c>
      <c r="C53" s="19">
        <f>'[7]F 4 TRI _ Granulo'!K40</f>
        <v>0</v>
      </c>
      <c r="D53" s="20">
        <f>'[7]F 4 TRI _ Granulo'!H40</f>
        <v>0</v>
      </c>
      <c r="E53" s="20">
        <f>'[7]F 4 TRI _ Granulo'!E40</f>
        <v>0</v>
      </c>
      <c r="F53" s="20">
        <f t="shared" si="1"/>
        <v>0</v>
      </c>
      <c r="G53" s="238">
        <f t="shared" si="0"/>
        <v>0</v>
      </c>
      <c r="H53" s="21">
        <v>0</v>
      </c>
      <c r="I53" s="499">
        <f>SUM(G53:G62)</f>
        <v>1.1709205594897916E-2</v>
      </c>
      <c r="J53" s="499">
        <f>'[7]Calcul sous cat &gt;20'!N19/100</f>
        <v>1.0696283053060847E-2</v>
      </c>
    </row>
    <row r="54" spans="1:10" ht="25.5" x14ac:dyDescent="0.25">
      <c r="A54" s="486"/>
      <c r="B54" s="18" t="s">
        <v>70</v>
      </c>
      <c r="C54" s="19">
        <f>'[7]F 4 TRI _ Granulo'!K41</f>
        <v>0</v>
      </c>
      <c r="D54" s="20">
        <f>'[7]F 4 TRI _ Granulo'!H41</f>
        <v>0</v>
      </c>
      <c r="E54" s="20">
        <f>'[7]F 4 TRI _ Granulo'!E41</f>
        <v>0</v>
      </c>
      <c r="F54" s="20">
        <f t="shared" si="1"/>
        <v>0</v>
      </c>
      <c r="G54" s="238">
        <f t="shared" si="0"/>
        <v>0</v>
      </c>
      <c r="H54" s="21">
        <v>0</v>
      </c>
      <c r="I54" s="499"/>
      <c r="J54" s="499"/>
    </row>
    <row r="55" spans="1:10" x14ac:dyDescent="0.25">
      <c r="A55" s="486"/>
      <c r="B55" s="18" t="s">
        <v>71</v>
      </c>
      <c r="C55" s="19">
        <f>'[7]F 4 TRI _ Granulo'!K42</f>
        <v>0</v>
      </c>
      <c r="D55" s="20">
        <f>'[7]F 4 TRI _ Granulo'!H42</f>
        <v>0.17999999999999994</v>
      </c>
      <c r="E55" s="20">
        <f>'[7]F 4 TRI _ Granulo'!E42</f>
        <v>0</v>
      </c>
      <c r="F55" s="20">
        <f>SUM(C55:E55)</f>
        <v>0.17999999999999994</v>
      </c>
      <c r="G55" s="238">
        <f t="shared" si="0"/>
        <v>2.1880490921676152E-3</v>
      </c>
      <c r="H55" s="21">
        <v>1.4E-3</v>
      </c>
      <c r="I55" s="499"/>
      <c r="J55" s="499"/>
    </row>
    <row r="56" spans="1:10" x14ac:dyDescent="0.25">
      <c r="A56" s="486"/>
      <c r="B56" s="18" t="s">
        <v>72</v>
      </c>
      <c r="C56" s="19">
        <f>'[7]F 4 TRI _ Granulo'!K43</f>
        <v>0</v>
      </c>
      <c r="D56" s="20">
        <f>'[7]F 4 TRI _ Granulo'!H43</f>
        <v>0</v>
      </c>
      <c r="E56" s="20">
        <f>'[7]F 4 TRI _ Granulo'!E43</f>
        <v>0</v>
      </c>
      <c r="F56" s="20">
        <f t="shared" si="1"/>
        <v>0</v>
      </c>
      <c r="G56" s="238">
        <f>F56/$F$64</f>
        <v>0</v>
      </c>
      <c r="H56" s="21">
        <v>0</v>
      </c>
      <c r="I56" s="499"/>
      <c r="J56" s="499"/>
    </row>
    <row r="57" spans="1:10" x14ac:dyDescent="0.25">
      <c r="A57" s="486"/>
      <c r="B57" s="18" t="s">
        <v>122</v>
      </c>
      <c r="C57" s="19">
        <f>'[7]F 4 TRI _ Granulo'!K44</f>
        <v>0</v>
      </c>
      <c r="D57" s="20">
        <f>'[7]F 4 TRI _ Granulo'!H44</f>
        <v>0</v>
      </c>
      <c r="E57" s="20">
        <f>'[7]F 4 TRI _ Granulo'!E44</f>
        <v>0</v>
      </c>
      <c r="F57" s="20">
        <f t="shared" si="1"/>
        <v>0</v>
      </c>
      <c r="G57" s="238">
        <f t="shared" ref="G57:G62" si="3">F57/$F$64</f>
        <v>0</v>
      </c>
      <c r="H57" s="21">
        <v>0</v>
      </c>
      <c r="I57" s="499"/>
      <c r="J57" s="499"/>
    </row>
    <row r="58" spans="1:10" x14ac:dyDescent="0.25">
      <c r="A58" s="486"/>
      <c r="B58" s="18" t="s">
        <v>123</v>
      </c>
      <c r="C58" s="19">
        <f>'[7]F 4 TRI _ Granulo'!K45</f>
        <v>0</v>
      </c>
      <c r="D58" s="20">
        <f>'[7]F 4 TRI _ Granulo'!H45</f>
        <v>0</v>
      </c>
      <c r="E58" s="20">
        <f>'[7]F 4 TRI _ Granulo'!E45</f>
        <v>0</v>
      </c>
      <c r="F58" s="20">
        <f t="shared" si="1"/>
        <v>0</v>
      </c>
      <c r="G58" s="238">
        <f t="shared" si="3"/>
        <v>0</v>
      </c>
      <c r="H58" s="21">
        <v>0</v>
      </c>
      <c r="I58" s="499"/>
      <c r="J58" s="499"/>
    </row>
    <row r="59" spans="1:10" x14ac:dyDescent="0.25">
      <c r="A59" s="486"/>
      <c r="B59" s="18" t="s">
        <v>124</v>
      </c>
      <c r="C59" s="19">
        <f>'[7]F 4 TRI _ Granulo'!K46</f>
        <v>0</v>
      </c>
      <c r="D59" s="20">
        <f>'[7]F 4 TRI _ Granulo'!H46</f>
        <v>0.63900000000000001</v>
      </c>
      <c r="E59" s="20">
        <f>'[7]F 4 TRI _ Granulo'!E46</f>
        <v>0</v>
      </c>
      <c r="F59" s="20">
        <f t="shared" si="1"/>
        <v>0.63900000000000001</v>
      </c>
      <c r="G59" s="238">
        <f t="shared" si="3"/>
        <v>7.7675742771950362E-3</v>
      </c>
      <c r="H59" s="21">
        <v>7.7999999999999996E-3</v>
      </c>
      <c r="I59" s="499"/>
      <c r="J59" s="499"/>
    </row>
    <row r="60" spans="1:10" x14ac:dyDescent="0.25">
      <c r="A60" s="486"/>
      <c r="B60" s="18" t="s">
        <v>125</v>
      </c>
      <c r="C60" s="19">
        <f>'[7]F 4 TRI _ Granulo'!K47</f>
        <v>0</v>
      </c>
      <c r="D60" s="20">
        <f>'[7]F 4 TRI _ Granulo'!H47</f>
        <v>0</v>
      </c>
      <c r="E60" s="20">
        <f>'[7]F 4 TRI _ Granulo'!E47</f>
        <v>0</v>
      </c>
      <c r="F60" s="20">
        <f t="shared" si="1"/>
        <v>0</v>
      </c>
      <c r="G60" s="238">
        <f t="shared" si="3"/>
        <v>0</v>
      </c>
      <c r="H60" s="21">
        <v>0</v>
      </c>
      <c r="I60" s="499"/>
      <c r="J60" s="499"/>
    </row>
    <row r="61" spans="1:10" x14ac:dyDescent="0.25">
      <c r="A61" s="486"/>
      <c r="B61" s="18" t="s">
        <v>126</v>
      </c>
      <c r="C61" s="19">
        <f>'[7]F 4 TRI _ Granulo'!K48</f>
        <v>0.14425855513307997</v>
      </c>
      <c r="D61" s="20">
        <f>'[7]F 4 TRI _ Granulo'!H48</f>
        <v>0</v>
      </c>
      <c r="E61" s="20">
        <f>'[7]F 4 TRI _ Granulo'!E48</f>
        <v>0</v>
      </c>
      <c r="F61" s="20">
        <f t="shared" si="1"/>
        <v>0.14425855513307997</v>
      </c>
      <c r="G61" s="238">
        <f t="shared" si="3"/>
        <v>1.7535822255352643E-3</v>
      </c>
      <c r="H61" s="21">
        <v>1.5E-3</v>
      </c>
      <c r="I61" s="499"/>
      <c r="J61" s="499"/>
    </row>
    <row r="62" spans="1:10" x14ac:dyDescent="0.25">
      <c r="A62" s="498"/>
      <c r="B62" s="18" t="s">
        <v>73</v>
      </c>
      <c r="C62" s="19">
        <f>'[7]F 4 TRI _ Granulo'!K49</f>
        <v>0</v>
      </c>
      <c r="D62" s="20">
        <f>'[7]F 4 TRI _ Granulo'!H49</f>
        <v>0</v>
      </c>
      <c r="E62" s="20">
        <f>'[7]F 4 TRI _ Granulo'!E49</f>
        <v>0</v>
      </c>
      <c r="F62" s="20">
        <f t="shared" si="1"/>
        <v>0</v>
      </c>
      <c r="G62" s="238">
        <f t="shared" si="3"/>
        <v>0</v>
      </c>
      <c r="H62" s="21">
        <v>0</v>
      </c>
      <c r="I62" s="499"/>
      <c r="J62" s="499"/>
    </row>
    <row r="63" spans="1:10" x14ac:dyDescent="0.25">
      <c r="A63" s="22" t="s">
        <v>74</v>
      </c>
      <c r="B63" s="23">
        <f>'[7]F 3 _ Criblage et Tri'!C27+'[7]F 3 _ Criblage et Tri'!D27</f>
        <v>5.12</v>
      </c>
      <c r="C63" s="19">
        <f>'[7]F 4 TRI _ Granulo'!K50</f>
        <v>1.0098098859315598</v>
      </c>
      <c r="D63" s="20">
        <f>'[7]F 4 TRI _ Granulo'!H50</f>
        <v>0.26000000000000023</v>
      </c>
      <c r="E63" s="20">
        <f>'[7]F 4 TRI _ Granulo'!E50</f>
        <v>0</v>
      </c>
      <c r="F63" s="19">
        <f>SUM(B63:E63)</f>
        <v>6.3898098859315606</v>
      </c>
      <c r="G63" s="21">
        <f t="shared" si="0"/>
        <v>7.7673431777978932E-2</v>
      </c>
      <c r="H63" s="21">
        <f>J63</f>
        <v>3.8092496777414046E-2</v>
      </c>
      <c r="I63" s="24">
        <f>G63</f>
        <v>7.7673431777978932E-2</v>
      </c>
      <c r="J63" s="24">
        <f>'[7]Calcul sous cat &gt;20'!N20/100</f>
        <v>3.8092496777414046E-2</v>
      </c>
    </row>
    <row r="64" spans="1:10" x14ac:dyDescent="0.25">
      <c r="A64" s="25" t="s">
        <v>25</v>
      </c>
      <c r="B64" s="90">
        <f>B63</f>
        <v>5.12</v>
      </c>
      <c r="C64" s="19">
        <f>SUM(C18:C63)</f>
        <v>37.976064638783285</v>
      </c>
      <c r="D64" s="19">
        <f>SUM(D18:D63)</f>
        <v>36.029000000000003</v>
      </c>
      <c r="E64" s="19">
        <f>SUM(E18:E63)</f>
        <v>3.14</v>
      </c>
      <c r="F64" s="19">
        <f>SUM(B64:E64)</f>
        <v>82.265064638783286</v>
      </c>
      <c r="G64" s="21">
        <f t="shared" si="0"/>
        <v>1</v>
      </c>
      <c r="H64" s="21">
        <f>SUM(H18:H63)</f>
        <v>1.0000037169469393</v>
      </c>
      <c r="I64" s="24">
        <f>SUM(I18:I63)</f>
        <v>1</v>
      </c>
      <c r="J64" s="24">
        <f>SUM(J18:J63)</f>
        <v>1.0000000000000002</v>
      </c>
    </row>
    <row r="65" spans="1:10" ht="51.75" x14ac:dyDescent="0.25">
      <c r="A65" s="26" t="s">
        <v>75</v>
      </c>
      <c r="B65" s="235">
        <f>B64/$F$64</f>
        <v>6.2237840843878851E-2</v>
      </c>
      <c r="C65" s="235">
        <f>C64/$F$64</f>
        <v>0.46163052087215811</v>
      </c>
      <c r="D65" s="235">
        <f>D64/$F$64</f>
        <v>0.43796233745392799</v>
      </c>
      <c r="E65" s="235">
        <f>E64/$F$64</f>
        <v>3.8169300830035079E-2</v>
      </c>
      <c r="F65" s="235">
        <f>F64/$F$64</f>
        <v>1</v>
      </c>
      <c r="G65" s="1"/>
      <c r="H65" s="1"/>
      <c r="I65" s="1"/>
      <c r="J65" s="1"/>
    </row>
  </sheetData>
  <mergeCells count="40">
    <mergeCell ref="I53:I62"/>
    <mergeCell ref="J53:J62"/>
    <mergeCell ref="A44:A45"/>
    <mergeCell ref="I44:I45"/>
    <mergeCell ref="J44:J45"/>
    <mergeCell ref="A46:A51"/>
    <mergeCell ref="I46:I51"/>
    <mergeCell ref="J46:J51"/>
    <mergeCell ref="A53:A62"/>
    <mergeCell ref="A36:A37"/>
    <mergeCell ref="I36:I37"/>
    <mergeCell ref="J36:J37"/>
    <mergeCell ref="A38:A42"/>
    <mergeCell ref="I38:I42"/>
    <mergeCell ref="J38:J42"/>
    <mergeCell ref="A28:A30"/>
    <mergeCell ref="I28:I30"/>
    <mergeCell ref="J28:J30"/>
    <mergeCell ref="A31:A34"/>
    <mergeCell ref="I31:I34"/>
    <mergeCell ref="J31:J34"/>
    <mergeCell ref="A18:A22"/>
    <mergeCell ref="I18:I22"/>
    <mergeCell ref="J18:J22"/>
    <mergeCell ref="A23:A27"/>
    <mergeCell ref="I23:I27"/>
    <mergeCell ref="J23:J27"/>
    <mergeCell ref="D12:F12"/>
    <mergeCell ref="A14:J14"/>
    <mergeCell ref="G16:G17"/>
    <mergeCell ref="H16:H17"/>
    <mergeCell ref="I16:I17"/>
    <mergeCell ref="J16:J17"/>
    <mergeCell ref="B2:F2"/>
    <mergeCell ref="B11:C11"/>
    <mergeCell ref="D11:F11"/>
    <mergeCell ref="B3:F3"/>
    <mergeCell ref="A7:J7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6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P27" sqref="P27"/>
    </sheetView>
  </sheetViews>
  <sheetFormatPr baseColWidth="10" defaultRowHeight="15" x14ac:dyDescent="0.25"/>
  <sheetData>
    <row r="1" spans="1:10" s="1" customFormat="1" ht="12.75" x14ac:dyDescent="0.2"/>
    <row r="2" spans="1:10" s="1" customFormat="1" ht="15.75" x14ac:dyDescent="0.25">
      <c r="A2" s="1" t="s">
        <v>0</v>
      </c>
      <c r="B2" s="476" t="str">
        <f>'[8]F 1 _ Echant et Séchage'!D5</f>
        <v>STO-P15-PB-PAR</v>
      </c>
      <c r="C2" s="476"/>
      <c r="D2" s="476"/>
      <c r="E2" s="476"/>
      <c r="F2" s="476"/>
      <c r="G2" s="2"/>
      <c r="H2" s="2"/>
      <c r="I2" s="2"/>
      <c r="J2" s="2"/>
    </row>
    <row r="3" spans="1:10" s="1" customFormat="1" ht="12.75" x14ac:dyDescent="0.2">
      <c r="A3" s="1" t="s">
        <v>1</v>
      </c>
      <c r="B3" s="483" t="str">
        <f>'[8]F 1 _ Echant et Séchage'!D6</f>
        <v>DF-685-MN - PARIS 9EME ARRDT</v>
      </c>
      <c r="C3" s="483"/>
      <c r="D3" s="483"/>
      <c r="E3" s="483"/>
      <c r="F3" s="483"/>
      <c r="G3" s="3"/>
      <c r="H3" s="3"/>
      <c r="I3" s="3"/>
      <c r="J3" s="3"/>
    </row>
    <row r="4" spans="1:10" s="1" customFormat="1" ht="12.75" x14ac:dyDescent="0.2">
      <c r="A4" s="1" t="s">
        <v>2</v>
      </c>
      <c r="B4" s="243"/>
      <c r="C4" s="243" t="str">
        <f>'[8]F 1 _ Echant et Séchage'!D8</f>
        <v>SAINT OUEN</v>
      </c>
      <c r="D4" s="243"/>
      <c r="E4" s="243"/>
      <c r="F4" s="243"/>
      <c r="G4" s="3"/>
      <c r="H4" s="3"/>
      <c r="I4" s="3"/>
      <c r="J4" s="3"/>
    </row>
    <row r="5" spans="1:10" s="1" customFormat="1" ht="12.75" x14ac:dyDescent="0.2">
      <c r="A5" s="1" t="s">
        <v>3</v>
      </c>
      <c r="B5" s="243"/>
      <c r="C5" s="243" t="str">
        <f>'[8]F 1 _ Echant et Séchage'!E15</f>
        <v>sec, ensoleillé</v>
      </c>
      <c r="D5" s="243"/>
      <c r="E5" s="243"/>
      <c r="F5" s="243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478" t="s">
        <v>4</v>
      </c>
      <c r="B7" s="478"/>
      <c r="C7" s="478"/>
      <c r="D7" s="478"/>
      <c r="E7" s="478"/>
      <c r="F7" s="478"/>
      <c r="G7" s="478"/>
      <c r="H7" s="478"/>
      <c r="I7" s="478"/>
      <c r="J7" s="478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'[8]F 1 _ Echant et Séchage'!B12</f>
        <v>42159</v>
      </c>
      <c r="D9" s="477" t="s">
        <v>6</v>
      </c>
      <c r="E9" s="477"/>
      <c r="F9" s="477"/>
      <c r="G9" s="6">
        <f>'[8]F 1 _ Echant et Séchage'!G19</f>
        <v>128.68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 t="str">
        <f>'[8]F 1 _ Echant et Séchage'!E12</f>
        <v>8H25</v>
      </c>
      <c r="D10" s="477" t="s">
        <v>9</v>
      </c>
      <c r="E10" s="477"/>
      <c r="F10" s="477"/>
      <c r="G10" s="243">
        <f>'[8]F 1 _ Echant et Séchage'!H26</f>
        <v>0.51</v>
      </c>
      <c r="H10" s="243"/>
      <c r="I10" s="9"/>
      <c r="J10" s="1" t="s">
        <v>10</v>
      </c>
    </row>
    <row r="11" spans="1:10" s="1" customFormat="1" ht="12.75" x14ac:dyDescent="0.2">
      <c r="B11" s="477"/>
      <c r="C11" s="477"/>
      <c r="D11" s="477" t="s">
        <v>11</v>
      </c>
      <c r="E11" s="477"/>
      <c r="F11" s="477"/>
      <c r="G11" s="10">
        <f>G9/1000/G10</f>
        <v>0.25231372549019609</v>
      </c>
      <c r="H11" s="10"/>
      <c r="I11" s="3"/>
      <c r="J11" s="3" t="s">
        <v>12</v>
      </c>
    </row>
    <row r="12" spans="1:10" s="1" customFormat="1" ht="12.75" x14ac:dyDescent="0.2">
      <c r="B12" s="7"/>
      <c r="D12" s="477" t="s">
        <v>13</v>
      </c>
      <c r="E12" s="477"/>
      <c r="F12" s="477"/>
      <c r="G12" s="236">
        <f>'[8]F 1 _ Echant et Séchage'!D51</f>
        <v>0.30789555486478087</v>
      </c>
      <c r="H12" s="11"/>
      <c r="I12" s="11"/>
    </row>
    <row r="13" spans="1:10" s="1" customFormat="1" ht="12.75" x14ac:dyDescent="0.2">
      <c r="B13" s="12"/>
      <c r="G13" s="234"/>
      <c r="H13" s="234"/>
      <c r="I13" s="234"/>
    </row>
    <row r="14" spans="1:10" s="1" customFormat="1" ht="18.75" customHeight="1" x14ac:dyDescent="0.2">
      <c r="A14" s="478" t="s">
        <v>14</v>
      </c>
      <c r="B14" s="478"/>
      <c r="C14" s="478"/>
      <c r="D14" s="478"/>
      <c r="E14" s="478"/>
      <c r="F14" s="478"/>
      <c r="G14" s="478"/>
      <c r="H14" s="478"/>
      <c r="I14" s="478"/>
      <c r="J14" s="478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479" t="s">
        <v>16</v>
      </c>
      <c r="H16" s="481" t="s">
        <v>17</v>
      </c>
      <c r="I16" s="479" t="s">
        <v>18</v>
      </c>
      <c r="J16" s="481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480"/>
      <c r="H17" s="482"/>
      <c r="I17" s="480"/>
      <c r="J17" s="482"/>
    </row>
    <row r="18" spans="1:10" s="1" customFormat="1" ht="15" customHeight="1" x14ac:dyDescent="0.2">
      <c r="A18" s="489" t="s">
        <v>26</v>
      </c>
      <c r="B18" s="18" t="s">
        <v>119</v>
      </c>
      <c r="C18" s="19">
        <f>'[8]F 4 TRI _ Granulo'!K5</f>
        <v>1.3110612244897963</v>
      </c>
      <c r="D18" s="20">
        <f>'[8]F 4 TRI _ Granulo'!H5</f>
        <v>3.0000000000000027E-2</v>
      </c>
      <c r="E18" s="20">
        <f>'[8]F 4 TRI _ Granulo'!E5</f>
        <v>0</v>
      </c>
      <c r="F18" s="20">
        <f>SUM(C18:E18)</f>
        <v>1.3410612244897964</v>
      </c>
      <c r="G18" s="21">
        <f t="shared" ref="G18:G64" si="0">F18/$F$64</f>
        <v>1.8781908407899423E-2</v>
      </c>
      <c r="H18" s="21">
        <f>G18*J18/I18</f>
        <v>4.4167411823978125E-2</v>
      </c>
      <c r="I18" s="484">
        <f>G18+G19+G20+G21+G22</f>
        <v>4.1485289048517074E-2</v>
      </c>
      <c r="J18" s="484">
        <f>'[8]Calcul sous cat &gt;20'!N8/100</f>
        <v>9.7556531862969947E-2</v>
      </c>
    </row>
    <row r="19" spans="1:10" s="1" customFormat="1" ht="15" customHeight="1" x14ac:dyDescent="0.2">
      <c r="A19" s="490"/>
      <c r="B19" s="18" t="s">
        <v>27</v>
      </c>
      <c r="C19" s="19">
        <f>'[8]F 4 TRI _ Granulo'!K6</f>
        <v>1.3110612244897963</v>
      </c>
      <c r="D19" s="20">
        <f>'[8]F 4 TRI _ Granulo'!H6</f>
        <v>0.31000000000000005</v>
      </c>
      <c r="E19" s="20">
        <f>'[8]F 4 TRI _ Granulo'!E6</f>
        <v>0</v>
      </c>
      <c r="F19" s="20">
        <f>SUM(C19:E19)</f>
        <v>1.6210612244897964</v>
      </c>
      <c r="G19" s="21">
        <f t="shared" si="0"/>
        <v>2.2703380640617648E-2</v>
      </c>
      <c r="H19" s="21">
        <f>G19*J18/I18</f>
        <v>5.3389120038991822E-2</v>
      </c>
      <c r="I19" s="484"/>
      <c r="J19" s="484"/>
    </row>
    <row r="20" spans="1:10" s="1" customFormat="1" ht="15" customHeight="1" x14ac:dyDescent="0.2">
      <c r="A20" s="490"/>
      <c r="B20" s="18" t="s">
        <v>28</v>
      </c>
      <c r="C20" s="19">
        <f>'[8]F 4 TRI _ Granulo'!K7</f>
        <v>0</v>
      </c>
      <c r="D20" s="20">
        <f>'[8]F 4 TRI _ Granulo'!H7</f>
        <v>0</v>
      </c>
      <c r="E20" s="20">
        <f>'[8]F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484"/>
      <c r="J20" s="484"/>
    </row>
    <row r="21" spans="1:10" s="1" customFormat="1" ht="15" customHeight="1" x14ac:dyDescent="0.2">
      <c r="A21" s="490"/>
      <c r="B21" s="18" t="s">
        <v>29</v>
      </c>
      <c r="C21" s="19">
        <f>'[8]F 4 TRI _ Granulo'!K8</f>
        <v>0</v>
      </c>
      <c r="D21" s="20">
        <f>'[8]F 4 TRI _ Granulo'!H8</f>
        <v>0</v>
      </c>
      <c r="E21" s="20">
        <f>'[8]F 4 TRI _ Granulo'!E8</f>
        <v>0</v>
      </c>
      <c r="F21" s="20">
        <f t="shared" si="1"/>
        <v>0</v>
      </c>
      <c r="G21" s="21">
        <f t="shared" si="0"/>
        <v>0</v>
      </c>
      <c r="H21" s="21">
        <f>G21*J18/I18</f>
        <v>0</v>
      </c>
      <c r="I21" s="484"/>
      <c r="J21" s="484"/>
    </row>
    <row r="22" spans="1:10" s="1" customFormat="1" ht="15" customHeight="1" x14ac:dyDescent="0.2">
      <c r="A22" s="491"/>
      <c r="B22" s="18" t="s">
        <v>30</v>
      </c>
      <c r="C22" s="19">
        <f>'[8]F 4 TRI _ Granulo'!K9</f>
        <v>0</v>
      </c>
      <c r="D22" s="20">
        <f>'[8]F 4 TRI _ Granulo'!H9</f>
        <v>0</v>
      </c>
      <c r="E22" s="20">
        <f>'[8]F 4 TRI _ Granulo'!E9</f>
        <v>0</v>
      </c>
      <c r="F22" s="20">
        <f t="shared" si="1"/>
        <v>0</v>
      </c>
      <c r="G22" s="21">
        <f t="shared" si="0"/>
        <v>0</v>
      </c>
      <c r="H22" s="21">
        <f>G22*J18/I18</f>
        <v>0</v>
      </c>
      <c r="I22" s="484"/>
      <c r="J22" s="484"/>
    </row>
    <row r="23" spans="1:10" s="1" customFormat="1" ht="15" customHeight="1" x14ac:dyDescent="0.2">
      <c r="A23" s="485" t="s">
        <v>31</v>
      </c>
      <c r="B23" s="18" t="s">
        <v>32</v>
      </c>
      <c r="C23" s="19">
        <f>'[8]F 4 TRI _ Granulo'!K10</f>
        <v>0.82322448979591833</v>
      </c>
      <c r="D23" s="20">
        <f>'[8]F 4 TRI _ Granulo'!H10</f>
        <v>1.25</v>
      </c>
      <c r="E23" s="20">
        <f>'[8]F 4 TRI _ Granulo'!E10</f>
        <v>0.16</v>
      </c>
      <c r="F23" s="20">
        <f t="shared" si="1"/>
        <v>2.2332244897959184</v>
      </c>
      <c r="G23" s="21">
        <f t="shared" si="0"/>
        <v>3.1276885093432211E-2</v>
      </c>
      <c r="H23" s="21">
        <f>'[8]Calcul sous cat &gt;20'!N32/100</f>
        <v>3.0786303844473884E-2</v>
      </c>
      <c r="I23" s="488">
        <f>G23+G24+G25+G26+G27</f>
        <v>0.36743851834660213</v>
      </c>
      <c r="J23" s="488">
        <f>'[8]Calcul sous cat &gt;20'!N9/100</f>
        <v>0.35360205318966159</v>
      </c>
    </row>
    <row r="24" spans="1:10" s="1" customFormat="1" ht="15" customHeight="1" x14ac:dyDescent="0.2">
      <c r="A24" s="486"/>
      <c r="B24" s="18" t="s">
        <v>33</v>
      </c>
      <c r="C24" s="19">
        <f>'[8]F 4 TRI _ Granulo'!K11</f>
        <v>0.15244897959183687</v>
      </c>
      <c r="D24" s="20">
        <f>'[8]F 4 TRI _ Granulo'!H11</f>
        <v>3.57</v>
      </c>
      <c r="E24" s="20">
        <f>'[8]F 4 TRI _ Granulo'!E11</f>
        <v>0</v>
      </c>
      <c r="F24" s="20">
        <f t="shared" si="1"/>
        <v>3.7224489795918365</v>
      </c>
      <c r="G24" s="21">
        <f t="shared" si="0"/>
        <v>5.2133858254213135E-2</v>
      </c>
      <c r="H24" s="21">
        <f>'[8]Calcul sous cat &gt;20'!N33/100</f>
        <v>4.9566170052182675E-2</v>
      </c>
      <c r="I24" s="488"/>
      <c r="J24" s="488"/>
    </row>
    <row r="25" spans="1:10" s="1" customFormat="1" ht="15" customHeight="1" x14ac:dyDescent="0.2">
      <c r="A25" s="486"/>
      <c r="B25" s="18" t="s">
        <v>34</v>
      </c>
      <c r="C25" s="19">
        <f>'[8]F 4 TRI _ Granulo'!K12</f>
        <v>9.1469387755102119E-2</v>
      </c>
      <c r="D25" s="20">
        <f>'[8]F 4 TRI _ Granulo'!H12</f>
        <v>0.21000000000000019</v>
      </c>
      <c r="E25" s="20">
        <f>'[8]F 4 TRI _ Granulo'!E12</f>
        <v>0</v>
      </c>
      <c r="F25" s="20">
        <f t="shared" si="1"/>
        <v>0.30146938775510229</v>
      </c>
      <c r="G25" s="21">
        <f t="shared" si="0"/>
        <v>4.2221565467721331E-3</v>
      </c>
      <c r="H25" s="21">
        <f>'[8]Calcul sous cat &gt;20'!N34/100</f>
        <v>4.0142075877787438E-3</v>
      </c>
      <c r="I25" s="488"/>
      <c r="J25" s="488"/>
    </row>
    <row r="26" spans="1:10" s="1" customFormat="1" ht="15" customHeight="1" x14ac:dyDescent="0.2">
      <c r="A26" s="486"/>
      <c r="B26" s="18" t="s">
        <v>35</v>
      </c>
      <c r="C26" s="19">
        <f>'[8]F 4 TRI _ Granulo'!K13</f>
        <v>1.0671428571428574</v>
      </c>
      <c r="D26" s="20">
        <f>'[8]F 4 TRI _ Granulo'!H13</f>
        <v>16.790000000000006</v>
      </c>
      <c r="E26" s="20">
        <f>'[8]F 4 TRI _ Granulo'!E13</f>
        <v>0</v>
      </c>
      <c r="F26" s="20">
        <f t="shared" si="1"/>
        <v>17.857142857142865</v>
      </c>
      <c r="G26" s="21">
        <f t="shared" si="0"/>
        <v>0.25009389239274404</v>
      </c>
      <c r="H26" s="21">
        <f>'[8]Calcul sous cat &gt;20'!N35/100</f>
        <v>0.24010379747287469</v>
      </c>
      <c r="I26" s="488"/>
      <c r="J26" s="488"/>
    </row>
    <row r="27" spans="1:10" s="1" customFormat="1" ht="15" customHeight="1" x14ac:dyDescent="0.2">
      <c r="A27" s="487"/>
      <c r="B27" s="18" t="s">
        <v>36</v>
      </c>
      <c r="C27" s="19">
        <f>'[8]F 4 TRI _ Granulo'!K14</f>
        <v>9.1469387755102119E-2</v>
      </c>
      <c r="D27" s="20">
        <f>'[8]F 4 TRI _ Granulo'!H14</f>
        <v>2.0300000000000002</v>
      </c>
      <c r="E27" s="20">
        <f>'[8]F 4 TRI _ Granulo'!E14</f>
        <v>0</v>
      </c>
      <c r="F27" s="20">
        <f t="shared" si="1"/>
        <v>2.1214693877551025</v>
      </c>
      <c r="G27" s="21">
        <f t="shared" si="0"/>
        <v>2.9711726059440599E-2</v>
      </c>
      <c r="H27" s="21">
        <f>'[8]Calcul sous cat &gt;20'!N36/100</f>
        <v>2.9131574232351572E-2</v>
      </c>
      <c r="I27" s="488"/>
      <c r="J27" s="488"/>
    </row>
    <row r="28" spans="1:10" s="1" customFormat="1" ht="15" customHeight="1" x14ac:dyDescent="0.2">
      <c r="A28" s="485" t="s">
        <v>37</v>
      </c>
      <c r="B28" s="18" t="s">
        <v>38</v>
      </c>
      <c r="C28" s="19">
        <f>'[8]F 4 TRI _ Granulo'!K15</f>
        <v>0.82322448979591833</v>
      </c>
      <c r="D28" s="20">
        <f>'[8]F 4 TRI _ Granulo'!H15</f>
        <v>1.9900000000000002</v>
      </c>
      <c r="E28" s="20">
        <f>'[8]F 4 TRI _ Granulo'!E15</f>
        <v>0</v>
      </c>
      <c r="F28" s="20">
        <f t="shared" si="1"/>
        <v>2.8132244897959184</v>
      </c>
      <c r="G28" s="21">
        <f t="shared" si="0"/>
        <v>3.9399934718348538E-2</v>
      </c>
      <c r="H28" s="21">
        <f>'[8]Calcul sous cat &gt;20'!N37/100</f>
        <v>3.7776551853411444E-2</v>
      </c>
      <c r="I28" s="488">
        <f>G28+G29+G30</f>
        <v>9.9913510386470811E-2</v>
      </c>
      <c r="J28" s="488">
        <f>'[8]Calcul sous cat &gt;20'!N10/100</f>
        <v>9.6164144194307827E-2</v>
      </c>
    </row>
    <row r="29" spans="1:10" s="1" customFormat="1" ht="15" customHeight="1" x14ac:dyDescent="0.2">
      <c r="A29" s="486"/>
      <c r="B29" s="18" t="s">
        <v>39</v>
      </c>
      <c r="C29" s="19">
        <f>'[8]F 4 TRI _ Granulo'!K16</f>
        <v>0.21342857142857161</v>
      </c>
      <c r="D29" s="20">
        <f>'[8]F 4 TRI _ Granulo'!H16</f>
        <v>0.89000000000000012</v>
      </c>
      <c r="E29" s="20">
        <f>'[8]F 4 TRI _ Granulo'!E16</f>
        <v>2.1</v>
      </c>
      <c r="F29" s="20">
        <f t="shared" si="1"/>
        <v>3.2034285714285717</v>
      </c>
      <c r="G29" s="21">
        <f t="shared" si="0"/>
        <v>4.4864843544119126E-2</v>
      </c>
      <c r="H29" s="21">
        <f>'[8]Calcul sous cat &gt;20'!N38/100</f>
        <v>4.3063960437003418E-2</v>
      </c>
      <c r="I29" s="488"/>
      <c r="J29" s="488"/>
    </row>
    <row r="30" spans="1:10" s="1" customFormat="1" ht="15" customHeight="1" x14ac:dyDescent="0.2">
      <c r="A30" s="487"/>
      <c r="B30" s="18" t="s">
        <v>40</v>
      </c>
      <c r="C30" s="19">
        <f>'[8]F 4 TRI _ Granulo'!K17</f>
        <v>0.45734693877551064</v>
      </c>
      <c r="D30" s="20">
        <f>'[8]F 4 TRI _ Granulo'!H17</f>
        <v>0.66000000000000059</v>
      </c>
      <c r="E30" s="20">
        <f>'[8]F 4 TRI _ Granulo'!E17</f>
        <v>0</v>
      </c>
      <c r="F30" s="20">
        <f t="shared" si="1"/>
        <v>1.1173469387755113</v>
      </c>
      <c r="G30" s="21">
        <f t="shared" si="0"/>
        <v>1.5648732124003136E-2</v>
      </c>
      <c r="H30" s="21">
        <f>'[8]Calcul sous cat &gt;20'!N39/100</f>
        <v>1.5323631903892963E-2</v>
      </c>
      <c r="I30" s="488"/>
      <c r="J30" s="488"/>
    </row>
    <row r="31" spans="1:10" s="1" customFormat="1" ht="15" customHeight="1" x14ac:dyDescent="0.2">
      <c r="A31" s="492" t="s">
        <v>41</v>
      </c>
      <c r="B31" s="18" t="s">
        <v>42</v>
      </c>
      <c r="C31" s="19">
        <f>'[8]F 4 TRI _ Granulo'!K18</f>
        <v>3.0489795918367375E-2</v>
      </c>
      <c r="D31" s="20">
        <f>'[8]F 4 TRI _ Granulo'!H18</f>
        <v>5.0000000000000044E-2</v>
      </c>
      <c r="E31" s="20">
        <f>'[8]F 4 TRI _ Granulo'!E18</f>
        <v>0</v>
      </c>
      <c r="F31" s="20">
        <f t="shared" si="1"/>
        <v>8.0489795918367413E-2</v>
      </c>
      <c r="G31" s="21">
        <f t="shared" si="0"/>
        <v>1.1272803561108377E-3</v>
      </c>
      <c r="H31" s="249">
        <f>G31*J31/I31</f>
        <v>1.3655293188090298E-3</v>
      </c>
      <c r="I31" s="495">
        <f>G31+G32+G33+G34</f>
        <v>2.0961012220016319E-2</v>
      </c>
      <c r="J31" s="495">
        <f>'[8]Calcul sous cat &gt;20'!N11/100</f>
        <v>2.5391089788077834E-2</v>
      </c>
    </row>
    <row r="32" spans="1:10" s="1" customFormat="1" ht="15" customHeight="1" x14ac:dyDescent="0.2">
      <c r="A32" s="493"/>
      <c r="B32" s="18" t="s">
        <v>43</v>
      </c>
      <c r="C32" s="19">
        <f>'[8]F 4 TRI _ Granulo'!K19</f>
        <v>1.0061632653061228</v>
      </c>
      <c r="D32" s="20">
        <f>'[8]F 4 TRI _ Granulo'!H19</f>
        <v>0.19000000000000017</v>
      </c>
      <c r="E32" s="20">
        <f>'[8]F 4 TRI _ Granulo'!E19</f>
        <v>0</v>
      </c>
      <c r="F32" s="20">
        <f t="shared" si="1"/>
        <v>1.1961632653061229</v>
      </c>
      <c r="G32" s="21">
        <f t="shared" si="0"/>
        <v>1.6752575109626872E-2</v>
      </c>
      <c r="H32" s="249">
        <f>G32*J31/I31</f>
        <v>2.0293205992402336E-2</v>
      </c>
      <c r="I32" s="496"/>
      <c r="J32" s="496"/>
    </row>
    <row r="33" spans="1:10" s="1" customFormat="1" ht="15" customHeight="1" x14ac:dyDescent="0.2">
      <c r="A33" s="493"/>
      <c r="B33" s="18" t="s">
        <v>44</v>
      </c>
      <c r="C33" s="19">
        <f>'[8]F 4 TRI _ Granulo'!K20</f>
        <v>0</v>
      </c>
      <c r="D33" s="20">
        <f>'[8]F 4 TRI _ Granulo'!H20</f>
        <v>5.0000000000000044E-2</v>
      </c>
      <c r="E33" s="20">
        <f>'[8]F 4 TRI _ Granulo'!E20</f>
        <v>0</v>
      </c>
      <c r="F33" s="20">
        <f t="shared" si="1"/>
        <v>5.0000000000000044E-2</v>
      </c>
      <c r="G33" s="21">
        <f t="shared" si="0"/>
        <v>7.0026289869968368E-4</v>
      </c>
      <c r="H33" s="249">
        <f>G33*J31/I31</f>
        <v>8.4826238110601504E-4</v>
      </c>
      <c r="I33" s="496"/>
      <c r="J33" s="496"/>
    </row>
    <row r="34" spans="1:10" s="1" customFormat="1" ht="15" customHeight="1" x14ac:dyDescent="0.2">
      <c r="A34" s="494"/>
      <c r="B34" s="18" t="s">
        <v>120</v>
      </c>
      <c r="C34" s="19">
        <f>'[8]F 4 TRI _ Granulo'!K21</f>
        <v>0</v>
      </c>
      <c r="D34" s="20">
        <f>'[8]F 4 TRI _ Granulo'!H21</f>
        <v>0.17000000000000015</v>
      </c>
      <c r="E34" s="20">
        <f>'[8]F 4 TRI _ Granulo'!E21</f>
        <v>0</v>
      </c>
      <c r="F34" s="20">
        <f t="shared" si="1"/>
        <v>0.17000000000000015</v>
      </c>
      <c r="G34" s="21">
        <f t="shared" si="0"/>
        <v>2.3808938555789244E-3</v>
      </c>
      <c r="H34" s="249">
        <f>G34*J31/I31</f>
        <v>2.8840920957604512E-3</v>
      </c>
      <c r="I34" s="497"/>
      <c r="J34" s="497"/>
    </row>
    <row r="35" spans="1:10" s="1" customFormat="1" ht="15" customHeight="1" x14ac:dyDescent="0.2">
      <c r="A35" s="244" t="s">
        <v>45</v>
      </c>
      <c r="B35" s="18" t="s">
        <v>46</v>
      </c>
      <c r="C35" s="19">
        <f>'[8]F 4 TRI _ Granulo'!K22</f>
        <v>0</v>
      </c>
      <c r="D35" s="20">
        <f>'[8]F 4 TRI _ Granulo'!H22</f>
        <v>0.3</v>
      </c>
      <c r="E35" s="20">
        <f>'[8]F 4 TRI _ Granulo'!E22</f>
        <v>0</v>
      </c>
      <c r="F35" s="20">
        <f t="shared" si="1"/>
        <v>0.3</v>
      </c>
      <c r="G35" s="21">
        <f t="shared" si="0"/>
        <v>4.2015773921980984E-3</v>
      </c>
      <c r="H35" s="21">
        <f>'[8]Calcul sous cat &gt;20'!N43/100</f>
        <v>4.0401819700657069E-3</v>
      </c>
      <c r="I35" s="245">
        <f>G35</f>
        <v>4.2015773921980984E-3</v>
      </c>
      <c r="J35" s="245">
        <f>'[8]Calcul sous cat &gt;20'!N12/100</f>
        <v>4.0401819700657069E-3</v>
      </c>
    </row>
    <row r="36" spans="1:10" s="1" customFormat="1" ht="15" customHeight="1" x14ac:dyDescent="0.2">
      <c r="A36" s="485" t="s">
        <v>47</v>
      </c>
      <c r="B36" s="18" t="s">
        <v>48</v>
      </c>
      <c r="C36" s="19">
        <f>'[8]F 4 TRI _ Granulo'!K23</f>
        <v>0.33538775510204111</v>
      </c>
      <c r="D36" s="20">
        <f>'[8]F 4 TRI _ Granulo'!H23</f>
        <v>0.15000000000000013</v>
      </c>
      <c r="E36" s="20">
        <f>'[8]F 4 TRI _ Granulo'!E23</f>
        <v>0</v>
      </c>
      <c r="F36" s="20">
        <f t="shared" si="1"/>
        <v>0.48538775510204124</v>
      </c>
      <c r="G36" s="21">
        <f t="shared" si="0"/>
        <v>6.7979807276217453E-3</v>
      </c>
      <c r="H36" s="21">
        <f>'[8]Calcul sous cat &gt;20'!N44/100</f>
        <v>6.8365700118872283E-3</v>
      </c>
      <c r="I36" s="488">
        <f>G36+G37</f>
        <v>6.5843576702796419E-2</v>
      </c>
      <c r="J36" s="488">
        <f>'[8]Calcul sous cat &gt;20'!N13/100</f>
        <v>6.5149029754731386E-2</v>
      </c>
    </row>
    <row r="37" spans="1:10" s="1" customFormat="1" ht="15" customHeight="1" x14ac:dyDescent="0.2">
      <c r="A37" s="487"/>
      <c r="B37" s="18" t="s">
        <v>49</v>
      </c>
      <c r="C37" s="19">
        <f>'[8]F 4 TRI _ Granulo'!K24</f>
        <v>1.6159591836734701</v>
      </c>
      <c r="D37" s="20">
        <f>'[8]F 4 TRI _ Granulo'!H24</f>
        <v>2.6</v>
      </c>
      <c r="E37" s="20">
        <f>'[8]F 4 TRI _ Granulo'!E24</f>
        <v>0</v>
      </c>
      <c r="F37" s="20">
        <f t="shared" si="1"/>
        <v>4.21595918367347</v>
      </c>
      <c r="G37" s="21">
        <f t="shared" si="0"/>
        <v>5.904559597517467E-2</v>
      </c>
      <c r="H37" s="21">
        <f>'[8]Calcul sous cat &gt;20'!N45/100</f>
        <v>5.8312459742844151E-2</v>
      </c>
      <c r="I37" s="488"/>
      <c r="J37" s="488"/>
    </row>
    <row r="38" spans="1:10" s="1" customFormat="1" ht="15" customHeight="1" x14ac:dyDescent="0.2">
      <c r="A38" s="485" t="s">
        <v>50</v>
      </c>
      <c r="B38" s="18" t="s">
        <v>51</v>
      </c>
      <c r="C38" s="19">
        <f>'[8]F 4 TRI _ Granulo'!K25</f>
        <v>0.33538775510204111</v>
      </c>
      <c r="D38" s="20">
        <f>'[8]F 4 TRI _ Granulo'!H25</f>
        <v>4.8100000000000005</v>
      </c>
      <c r="E38" s="20">
        <f>'[8]F 4 TRI _ Granulo'!E25</f>
        <v>0</v>
      </c>
      <c r="F38" s="20">
        <f t="shared" si="1"/>
        <v>5.1453877551020417</v>
      </c>
      <c r="G38" s="21">
        <f t="shared" si="0"/>
        <v>7.2062482886432216E-2</v>
      </c>
      <c r="H38" s="21">
        <f>'[8]Calcul sous cat &gt;20'!N46/100</f>
        <v>7.9290319761784744E-2</v>
      </c>
      <c r="I38" s="488">
        <f>G38+G39+G40+G41+G42</f>
        <v>0.13343523825802031</v>
      </c>
      <c r="J38" s="488">
        <f>'[8]Calcul sous cat &gt;20'!N14/100</f>
        <v>0.14476788983557978</v>
      </c>
    </row>
    <row r="39" spans="1:10" s="1" customFormat="1" ht="15" customHeight="1" x14ac:dyDescent="0.2">
      <c r="A39" s="486"/>
      <c r="B39" s="18" t="s">
        <v>52</v>
      </c>
      <c r="C39" s="19">
        <f>'[8]F 4 TRI _ Granulo'!K26</f>
        <v>0.51832653061224532</v>
      </c>
      <c r="D39" s="20">
        <f>'[8]F 4 TRI _ Granulo'!H26</f>
        <v>0.41000000000000014</v>
      </c>
      <c r="E39" s="20">
        <f>'[8]F 4 TRI _ Granulo'!E26</f>
        <v>0</v>
      </c>
      <c r="F39" s="20">
        <f t="shared" si="1"/>
        <v>0.92832653061224546</v>
      </c>
      <c r="G39" s="21">
        <f t="shared" si="0"/>
        <v>1.3001452545327022E-2</v>
      </c>
      <c r="H39" s="21">
        <f>'[8]Calcul sous cat &gt;20'!N47/100</f>
        <v>1.2781831332434372E-2</v>
      </c>
      <c r="I39" s="488"/>
      <c r="J39" s="488"/>
    </row>
    <row r="40" spans="1:10" s="1" customFormat="1" ht="15" customHeight="1" x14ac:dyDescent="0.2">
      <c r="A40" s="486"/>
      <c r="B40" s="18" t="s">
        <v>53</v>
      </c>
      <c r="C40" s="19">
        <f>'[8]F 4 TRI _ Granulo'!K27</f>
        <v>0.15244897959183687</v>
      </c>
      <c r="D40" s="20">
        <f>'[8]F 4 TRI _ Granulo'!H27</f>
        <v>0.15000000000000013</v>
      </c>
      <c r="E40" s="20">
        <f>'[8]F 4 TRI _ Granulo'!E27</f>
        <v>0</v>
      </c>
      <c r="F40" s="20">
        <f t="shared" si="1"/>
        <v>0.30244897959183703</v>
      </c>
      <c r="G40" s="21">
        <f t="shared" si="0"/>
        <v>4.2358759831548215E-3</v>
      </c>
      <c r="H40" s="21">
        <f>'[8]Calcul sous cat &gt;20'!N48/100</f>
        <v>4.1633992734765894E-3</v>
      </c>
      <c r="I40" s="488"/>
      <c r="J40" s="488"/>
    </row>
    <row r="41" spans="1:10" s="1" customFormat="1" ht="15" customHeight="1" x14ac:dyDescent="0.2">
      <c r="A41" s="486"/>
      <c r="B41" s="18" t="s">
        <v>54</v>
      </c>
      <c r="C41" s="19">
        <f>'[8]F 4 TRI _ Granulo'!K28</f>
        <v>0.51832653061224532</v>
      </c>
      <c r="D41" s="20">
        <f>'[8]F 4 TRI _ Granulo'!H28</f>
        <v>0.71</v>
      </c>
      <c r="E41" s="20">
        <f>'[8]F 4 TRI _ Granulo'!E28</f>
        <v>0</v>
      </c>
      <c r="F41" s="20">
        <f t="shared" si="1"/>
        <v>1.2283265306122453</v>
      </c>
      <c r="G41" s="21">
        <f t="shared" si="0"/>
        <v>1.7203029937525118E-2</v>
      </c>
      <c r="H41" s="21">
        <f>'[8]Calcul sous cat &gt;20'!N49/100</f>
        <v>1.8915204833697137E-2</v>
      </c>
      <c r="I41" s="488"/>
      <c r="J41" s="488"/>
    </row>
    <row r="42" spans="1:10" s="1" customFormat="1" ht="27" customHeight="1" x14ac:dyDescent="0.2">
      <c r="A42" s="487"/>
      <c r="B42" s="18" t="s">
        <v>55</v>
      </c>
      <c r="C42" s="19">
        <f>'[8]F 4 TRI _ Granulo'!K29</f>
        <v>1.4330204081632658</v>
      </c>
      <c r="D42" s="20">
        <f>'[8]F 4 TRI _ Granulo'!H29</f>
        <v>0.49000000000000021</v>
      </c>
      <c r="E42" s="20">
        <f>'[8]F 4 TRI _ Granulo'!E29</f>
        <v>0</v>
      </c>
      <c r="F42" s="20">
        <f t="shared" si="1"/>
        <v>1.923020408163266</v>
      </c>
      <c r="G42" s="21">
        <f t="shared" si="0"/>
        <v>2.6932396905581125E-2</v>
      </c>
      <c r="H42" s="21">
        <f>'[8]Calcul sous cat &gt;20'!N50/100</f>
        <v>2.9617134634186932E-2</v>
      </c>
      <c r="I42" s="488"/>
      <c r="J42" s="488"/>
    </row>
    <row r="43" spans="1:10" s="1" customFormat="1" ht="26.25" customHeight="1" x14ac:dyDescent="0.2">
      <c r="A43" s="244" t="s">
        <v>56</v>
      </c>
      <c r="B43" s="18" t="s">
        <v>56</v>
      </c>
      <c r="C43" s="19">
        <f>'[8]F 4 TRI _ Granulo'!K30</f>
        <v>0.21342857142857161</v>
      </c>
      <c r="D43" s="20">
        <f>'[8]F 4 TRI _ Granulo'!H30</f>
        <v>0.39000000000000012</v>
      </c>
      <c r="E43" s="20">
        <f>'[8]F 4 TRI _ Granulo'!E30</f>
        <v>0</v>
      </c>
      <c r="F43" s="20">
        <f t="shared" si="1"/>
        <v>0.60342857142857176</v>
      </c>
      <c r="G43" s="21">
        <f t="shared" si="0"/>
        <v>8.4511728117356074E-3</v>
      </c>
      <c r="H43" s="21">
        <f>J43</f>
        <v>8.2990406694630446E-3</v>
      </c>
      <c r="I43" s="245">
        <f>G43</f>
        <v>8.4511728117356074E-3</v>
      </c>
      <c r="J43" s="245">
        <f>'[8]Calcul sous cat &gt;20'!N15/100</f>
        <v>8.2990406694630446E-3</v>
      </c>
    </row>
    <row r="44" spans="1:10" s="1" customFormat="1" ht="15" customHeight="1" x14ac:dyDescent="0.2">
      <c r="A44" s="485" t="s">
        <v>57</v>
      </c>
      <c r="B44" s="18" t="s">
        <v>58</v>
      </c>
      <c r="C44" s="19">
        <f>'[8]F 4 TRI _ Granulo'!K31</f>
        <v>0</v>
      </c>
      <c r="D44" s="20">
        <f>'[8]F 4 TRI _ Granulo'!H31</f>
        <v>8.83</v>
      </c>
      <c r="E44" s="20">
        <f>'[8]F 4 TRI _ Granulo'!E31</f>
        <v>0</v>
      </c>
      <c r="F44" s="20">
        <f t="shared" si="1"/>
        <v>8.83</v>
      </c>
      <c r="G44" s="21">
        <f t="shared" si="0"/>
        <v>0.12366642791036403</v>
      </c>
      <c r="H44" s="21">
        <f>G44*J44/I44</f>
        <v>0.11876644017007089</v>
      </c>
      <c r="I44" s="488">
        <f>G44+G45</f>
        <v>0.14127303793481322</v>
      </c>
      <c r="J44" s="488">
        <f>'[8]Calcul sous cat &gt;20'!N16/100</f>
        <v>0.13567543019590206</v>
      </c>
    </row>
    <row r="45" spans="1:10" s="1" customFormat="1" ht="15" customHeight="1" x14ac:dyDescent="0.2">
      <c r="A45" s="487"/>
      <c r="B45" s="18" t="s">
        <v>59</v>
      </c>
      <c r="C45" s="19">
        <f>'[8]F 4 TRI _ Granulo'!K32</f>
        <v>1.0671428571428574</v>
      </c>
      <c r="D45" s="20">
        <f>'[8]F 4 TRI _ Granulo'!H32</f>
        <v>0.19000000000000017</v>
      </c>
      <c r="E45" s="20">
        <f>'[8]F 4 TRI _ Granulo'!E32</f>
        <v>0</v>
      </c>
      <c r="F45" s="20">
        <f t="shared" si="1"/>
        <v>1.2571428571428576</v>
      </c>
      <c r="G45" s="21">
        <f t="shared" si="0"/>
        <v>1.760661002444918E-2</v>
      </c>
      <c r="H45" s="21">
        <f>G45*J44/I44</f>
        <v>1.6908990025831162E-2</v>
      </c>
      <c r="I45" s="488"/>
      <c r="J45" s="488"/>
    </row>
    <row r="46" spans="1:10" s="1" customFormat="1" ht="15" customHeight="1" x14ac:dyDescent="0.2">
      <c r="A46" s="485" t="s">
        <v>60</v>
      </c>
      <c r="B46" s="18" t="s">
        <v>61</v>
      </c>
      <c r="C46" s="19">
        <f>'[8]F 4 TRI _ Granulo'!K33</f>
        <v>0.21342857142857161</v>
      </c>
      <c r="D46" s="20">
        <f>'[8]F 4 TRI _ Granulo'!H33</f>
        <v>0.1100000000000001</v>
      </c>
      <c r="E46" s="20">
        <f>'[8]F 4 TRI _ Granulo'!E33</f>
        <v>0</v>
      </c>
      <c r="F46" s="20">
        <f t="shared" si="1"/>
        <v>0.32342857142857173</v>
      </c>
      <c r="G46" s="21">
        <f t="shared" si="0"/>
        <v>4.5297005790173829E-3</v>
      </c>
      <c r="H46" s="21">
        <f t="shared" ref="H46:H51" si="2">G46*$J$46/$I$46</f>
        <v>4.4920188945541022E-3</v>
      </c>
      <c r="I46" s="488">
        <f>G46+G47+G50+G51+G48+G49</f>
        <v>6.0908581107307182E-3</v>
      </c>
      <c r="J46" s="488">
        <f>'[8]Calcul sous cat &gt;20'!N17/100</f>
        <v>6.0401894651027207E-3</v>
      </c>
    </row>
    <row r="47" spans="1:10" s="1" customFormat="1" ht="15" customHeight="1" x14ac:dyDescent="0.2">
      <c r="A47" s="486"/>
      <c r="B47" s="18" t="s">
        <v>62</v>
      </c>
      <c r="C47" s="19">
        <f>'[8]F 4 TRI _ Granulo'!K34</f>
        <v>9.1469387755102119E-2</v>
      </c>
      <c r="D47" s="20">
        <f>'[8]F 4 TRI _ Granulo'!H34</f>
        <v>1.0000000000000009E-2</v>
      </c>
      <c r="E47" s="20">
        <f>'[8]F 4 TRI _ Granulo'!E34</f>
        <v>0</v>
      </c>
      <c r="F47" s="20">
        <f t="shared" si="1"/>
        <v>0.10146938775510213</v>
      </c>
      <c r="G47" s="21">
        <f t="shared" si="0"/>
        <v>1.4211049519733988E-3</v>
      </c>
      <c r="H47" s="21">
        <f t="shared" si="2"/>
        <v>1.409283060557988E-3</v>
      </c>
      <c r="I47" s="488"/>
      <c r="J47" s="488"/>
    </row>
    <row r="48" spans="1:10" s="1" customFormat="1" ht="15" customHeight="1" x14ac:dyDescent="0.2">
      <c r="A48" s="486"/>
      <c r="B48" s="18" t="s">
        <v>63</v>
      </c>
      <c r="C48" s="19">
        <f>'[8]F 4 TRI _ Granulo'!K35</f>
        <v>0</v>
      </c>
      <c r="D48" s="20">
        <f>'[8]F 4 TRI _ Granulo'!H35</f>
        <v>0</v>
      </c>
      <c r="E48" s="20">
        <f>'[8]F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488"/>
      <c r="J48" s="488"/>
    </row>
    <row r="49" spans="1:10" s="1" customFormat="1" ht="15" customHeight="1" x14ac:dyDescent="0.2">
      <c r="A49" s="486"/>
      <c r="B49" s="18" t="s">
        <v>64</v>
      </c>
      <c r="C49" s="19">
        <f>'[8]F 4 TRI _ Granulo'!K36</f>
        <v>0</v>
      </c>
      <c r="D49" s="20">
        <f>'[8]F 4 TRI _ Granulo'!H36</f>
        <v>0</v>
      </c>
      <c r="E49" s="20">
        <f>'[8]F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488"/>
      <c r="J49" s="488"/>
    </row>
    <row r="50" spans="1:10" s="1" customFormat="1" ht="15" customHeight="1" x14ac:dyDescent="0.2">
      <c r="A50" s="486"/>
      <c r="B50" s="18" t="s">
        <v>65</v>
      </c>
      <c r="C50" s="19">
        <f>'[8]F 4 TRI _ Granulo'!K37</f>
        <v>0</v>
      </c>
      <c r="D50" s="20">
        <f>'[8]F 4 TRI _ Granulo'!H37</f>
        <v>1.0000000000000009E-2</v>
      </c>
      <c r="E50" s="20">
        <f>'[8]F 4 TRI _ Granulo'!E37</f>
        <v>0</v>
      </c>
      <c r="F50" s="20">
        <f t="shared" si="1"/>
        <v>1.0000000000000009E-2</v>
      </c>
      <c r="G50" s="21">
        <f t="shared" si="0"/>
        <v>1.4005257973993674E-4</v>
      </c>
      <c r="H50" s="21">
        <f t="shared" si="2"/>
        <v>1.3888750999063037E-4</v>
      </c>
      <c r="I50" s="488"/>
      <c r="J50" s="488"/>
    </row>
    <row r="51" spans="1:10" s="1" customFormat="1" ht="15" customHeight="1" x14ac:dyDescent="0.2">
      <c r="A51" s="487"/>
      <c r="B51" s="18" t="s">
        <v>66</v>
      </c>
      <c r="C51" s="19">
        <f>'[8]F 4 TRI _ Granulo'!K38</f>
        <v>0</v>
      </c>
      <c r="D51" s="20">
        <f>'[8]F 4 TRI _ Granulo'!H38</f>
        <v>0</v>
      </c>
      <c r="E51" s="20">
        <f>'[8]F 4 TRI _ Granulo'!E38</f>
        <v>0</v>
      </c>
      <c r="F51" s="20">
        <f t="shared" si="1"/>
        <v>0</v>
      </c>
      <c r="G51" s="21">
        <f t="shared" si="0"/>
        <v>0</v>
      </c>
      <c r="H51" s="21">
        <f t="shared" si="2"/>
        <v>0</v>
      </c>
      <c r="I51" s="488"/>
      <c r="J51" s="488"/>
    </row>
    <row r="52" spans="1:10" s="1" customFormat="1" ht="15" customHeight="1" x14ac:dyDescent="0.2">
      <c r="A52" s="247" t="s">
        <v>67</v>
      </c>
      <c r="B52" s="18" t="s">
        <v>68</v>
      </c>
      <c r="C52" s="19">
        <f>'[8]F 4 TRI _ Granulo'!K39</f>
        <v>0.94518367346938792</v>
      </c>
      <c r="D52" s="20">
        <f>'[8]F 4 TRI _ Granulo'!H39</f>
        <v>0</v>
      </c>
      <c r="E52" s="20">
        <f>'[8]F 4 TRI _ Granulo'!E39</f>
        <v>0</v>
      </c>
      <c r="F52" s="20">
        <f t="shared" si="1"/>
        <v>0.94518367346938792</v>
      </c>
      <c r="G52" s="21">
        <f t="shared" si="0"/>
        <v>1.3237541179745765E-2</v>
      </c>
      <c r="H52" s="21">
        <f>J52</f>
        <v>1.4516804175441373E-2</v>
      </c>
      <c r="I52" s="248">
        <f>G52</f>
        <v>1.3237541179745765E-2</v>
      </c>
      <c r="J52" s="248">
        <f>'[8]Calcul sous cat &gt;20'!N18/100</f>
        <v>1.4516804175441373E-2</v>
      </c>
    </row>
    <row r="53" spans="1:10" s="1" customFormat="1" ht="15" customHeight="1" x14ac:dyDescent="0.2">
      <c r="A53" s="485" t="s">
        <v>69</v>
      </c>
      <c r="B53" s="18" t="s">
        <v>121</v>
      </c>
      <c r="C53" s="19">
        <f>'[8]F 4 TRI _ Granulo'!K40</f>
        <v>0</v>
      </c>
      <c r="D53" s="20">
        <f>'[8]F 4 TRI _ Granulo'!H40</f>
        <v>0</v>
      </c>
      <c r="E53" s="20">
        <f>'[8]F 4 TRI _ Granulo'!E40</f>
        <v>0</v>
      </c>
      <c r="F53" s="20">
        <f t="shared" si="1"/>
        <v>0</v>
      </c>
      <c r="G53" s="21">
        <f t="shared" si="0"/>
        <v>0</v>
      </c>
      <c r="H53" s="251">
        <v>0</v>
      </c>
      <c r="I53" s="488">
        <f>SUM(G53:G62)</f>
        <v>1.7080698296446162E-3</v>
      </c>
      <c r="J53" s="488">
        <f>'[8]Calcul sous cat &gt;20'!N19/100</f>
        <v>1.6750082363272563E-3</v>
      </c>
    </row>
    <row r="54" spans="1:10" s="1" customFormat="1" ht="15" customHeight="1" x14ac:dyDescent="0.2">
      <c r="A54" s="486"/>
      <c r="B54" s="18" t="s">
        <v>70</v>
      </c>
      <c r="C54" s="19">
        <f>'[8]F 4 TRI _ Granulo'!K41</f>
        <v>0</v>
      </c>
      <c r="D54" s="20">
        <f>'[8]F 4 TRI _ Granulo'!H41</f>
        <v>0</v>
      </c>
      <c r="E54" s="20">
        <f>'[8]F 4 TRI _ Granulo'!E41</f>
        <v>0</v>
      </c>
      <c r="F54" s="20">
        <f t="shared" si="1"/>
        <v>0</v>
      </c>
      <c r="G54" s="21">
        <f t="shared" si="0"/>
        <v>0</v>
      </c>
      <c r="H54" s="251">
        <v>0</v>
      </c>
      <c r="I54" s="488"/>
      <c r="J54" s="488"/>
    </row>
    <row r="55" spans="1:10" s="1" customFormat="1" ht="15" customHeight="1" x14ac:dyDescent="0.2">
      <c r="A55" s="486"/>
      <c r="B55" s="18" t="s">
        <v>71</v>
      </c>
      <c r="C55" s="19">
        <f>'[8]F 4 TRI _ Granulo'!K42</f>
        <v>0</v>
      </c>
      <c r="D55" s="20">
        <f>'[8]F 4 TRI _ Granulo'!H42</f>
        <v>0</v>
      </c>
      <c r="E55" s="20">
        <f>'[8]F 4 TRI _ Granulo'!E42</f>
        <v>0</v>
      </c>
      <c r="F55" s="20">
        <f>SUM(C55:E55)</f>
        <v>0</v>
      </c>
      <c r="G55" s="21">
        <f t="shared" si="0"/>
        <v>0</v>
      </c>
      <c r="H55" s="251">
        <v>0</v>
      </c>
      <c r="I55" s="488"/>
      <c r="J55" s="488"/>
    </row>
    <row r="56" spans="1:10" s="1" customFormat="1" ht="15" customHeight="1" x14ac:dyDescent="0.2">
      <c r="A56" s="486"/>
      <c r="B56" s="18" t="s">
        <v>72</v>
      </c>
      <c r="C56" s="19">
        <f>'[8]F 4 TRI _ Granulo'!K43</f>
        <v>0</v>
      </c>
      <c r="D56" s="20">
        <f>'[8]F 4 TRI _ Granulo'!H43</f>
        <v>0</v>
      </c>
      <c r="E56" s="20">
        <f>'[8]F 4 TRI _ Granulo'!E43</f>
        <v>0</v>
      </c>
      <c r="F56" s="20">
        <f t="shared" si="1"/>
        <v>0</v>
      </c>
      <c r="G56" s="21">
        <f>F56/$F$64</f>
        <v>0</v>
      </c>
      <c r="H56" s="251">
        <v>0</v>
      </c>
      <c r="I56" s="488"/>
      <c r="J56" s="488"/>
    </row>
    <row r="57" spans="1:10" s="1" customFormat="1" ht="17.25" customHeight="1" x14ac:dyDescent="0.2">
      <c r="A57" s="486"/>
      <c r="B57" s="18" t="s">
        <v>122</v>
      </c>
      <c r="C57" s="19">
        <f>'[8]F 4 TRI _ Granulo'!K44</f>
        <v>0</v>
      </c>
      <c r="D57" s="20">
        <f>'[8]F 4 TRI _ Granulo'!H44</f>
        <v>0</v>
      </c>
      <c r="E57" s="20">
        <f>'[8]F 4 TRI _ Granulo'!E44</f>
        <v>0</v>
      </c>
      <c r="F57" s="20">
        <f t="shared" si="1"/>
        <v>0</v>
      </c>
      <c r="G57" s="21">
        <f t="shared" ref="G57:G62" si="3">F57/$F$64</f>
        <v>0</v>
      </c>
      <c r="H57" s="251">
        <v>0</v>
      </c>
      <c r="I57" s="488"/>
      <c r="J57" s="488"/>
    </row>
    <row r="58" spans="1:10" s="1" customFormat="1" ht="17.25" customHeight="1" x14ac:dyDescent="0.2">
      <c r="A58" s="486"/>
      <c r="B58" s="18" t="s">
        <v>123</v>
      </c>
      <c r="C58" s="19">
        <f>'[8]F 4 TRI _ Granulo'!K45</f>
        <v>0</v>
      </c>
      <c r="D58" s="20">
        <f>'[8]F 4 TRI _ Granulo'!H45</f>
        <v>0</v>
      </c>
      <c r="E58" s="20">
        <f>'[8]F 4 TRI _ Granulo'!E45</f>
        <v>0</v>
      </c>
      <c r="F58" s="20">
        <f t="shared" si="1"/>
        <v>0</v>
      </c>
      <c r="G58" s="21">
        <f t="shared" si="3"/>
        <v>0</v>
      </c>
      <c r="H58" s="251">
        <v>0</v>
      </c>
      <c r="I58" s="488"/>
      <c r="J58" s="488"/>
    </row>
    <row r="59" spans="1:10" s="1" customFormat="1" ht="25.5" customHeight="1" x14ac:dyDescent="0.2">
      <c r="A59" s="486"/>
      <c r="B59" s="18" t="s">
        <v>124</v>
      </c>
      <c r="C59" s="19">
        <f>'[8]F 4 TRI _ Granulo'!K46</f>
        <v>0</v>
      </c>
      <c r="D59" s="20">
        <f>'[8]F 4 TRI _ Granulo'!H46</f>
        <v>0</v>
      </c>
      <c r="E59" s="20">
        <f>'[8]F 4 TRI _ Granulo'!E46</f>
        <v>0</v>
      </c>
      <c r="F59" s="20">
        <f t="shared" si="1"/>
        <v>0</v>
      </c>
      <c r="G59" s="21">
        <f t="shared" si="3"/>
        <v>0</v>
      </c>
      <c r="H59" s="251">
        <v>0</v>
      </c>
      <c r="I59" s="488"/>
      <c r="J59" s="488"/>
    </row>
    <row r="60" spans="1:10" ht="25.5" x14ac:dyDescent="0.25">
      <c r="A60" s="486"/>
      <c r="B60" s="18" t="s">
        <v>125</v>
      </c>
      <c r="C60" s="19">
        <f>'[8]F 4 TRI _ Granulo'!K47</f>
        <v>0</v>
      </c>
      <c r="D60" s="20">
        <f>'[8]F 4 TRI _ Granulo'!H47</f>
        <v>0</v>
      </c>
      <c r="E60" s="20">
        <f>'[8]F 4 TRI _ Granulo'!E47</f>
        <v>0</v>
      </c>
      <c r="F60" s="20">
        <f t="shared" si="1"/>
        <v>0</v>
      </c>
      <c r="G60" s="21">
        <f t="shared" si="3"/>
        <v>0</v>
      </c>
      <c r="H60" s="251">
        <v>0</v>
      </c>
      <c r="I60" s="488"/>
      <c r="J60" s="488"/>
    </row>
    <row r="61" spans="1:10" ht="38.25" x14ac:dyDescent="0.25">
      <c r="A61" s="486"/>
      <c r="B61" s="18" t="s">
        <v>126</v>
      </c>
      <c r="C61" s="19">
        <f>'[8]F 4 TRI _ Granulo'!K48</f>
        <v>0</v>
      </c>
      <c r="D61" s="20">
        <f>'[8]F 4 TRI _ Granulo'!H48</f>
        <v>0</v>
      </c>
      <c r="E61" s="20">
        <f>'[8]F 4 TRI _ Granulo'!E48</f>
        <v>0</v>
      </c>
      <c r="F61" s="20">
        <f t="shared" si="1"/>
        <v>0</v>
      </c>
      <c r="G61" s="21">
        <f t="shared" si="3"/>
        <v>0</v>
      </c>
      <c r="H61" s="251">
        <v>0</v>
      </c>
      <c r="I61" s="488"/>
      <c r="J61" s="488"/>
    </row>
    <row r="62" spans="1:10" ht="51" x14ac:dyDescent="0.25">
      <c r="A62" s="498"/>
      <c r="B62" s="18" t="s">
        <v>73</v>
      </c>
      <c r="C62" s="19">
        <f>'[8]F 4 TRI _ Granulo'!K49</f>
        <v>0.1219591836734695</v>
      </c>
      <c r="D62" s="20">
        <f>'[8]F 4 TRI _ Granulo'!H49</f>
        <v>0</v>
      </c>
      <c r="E62" s="20">
        <f>'[8]F 4 TRI _ Granulo'!E49</f>
        <v>0</v>
      </c>
      <c r="F62" s="20">
        <f t="shared" si="1"/>
        <v>0.1219591836734695</v>
      </c>
      <c r="G62" s="21">
        <f t="shared" si="3"/>
        <v>1.7080698296446162E-3</v>
      </c>
      <c r="H62" s="251">
        <v>2E-3</v>
      </c>
      <c r="I62" s="488"/>
      <c r="J62" s="488"/>
    </row>
    <row r="63" spans="1:10" x14ac:dyDescent="0.25">
      <c r="A63" s="22" t="s">
        <v>74</v>
      </c>
      <c r="B63" s="23">
        <f>'[8]F 3 _ Criblage et Tri'!C27+'[8]F 3 _ Criblage et Tri'!D27</f>
        <v>5.84</v>
      </c>
      <c r="C63" s="19">
        <f>'[8]F 4 TRI _ Granulo'!K50</f>
        <v>0.73175510204081695</v>
      </c>
      <c r="D63" s="20">
        <f>'[8]F 4 TRI _ Granulo'!H50</f>
        <v>0.28000000000000025</v>
      </c>
      <c r="E63" s="20">
        <f>'[8]F 4 TRI _ Granulo'!E50</f>
        <v>0</v>
      </c>
      <c r="F63" s="19">
        <f>SUM(B63:E63)</f>
        <v>6.8517551020408174</v>
      </c>
      <c r="G63" s="21">
        <f t="shared" si="0"/>
        <v>9.5960597778708911E-2</v>
      </c>
      <c r="H63" s="21">
        <f>J63</f>
        <v>4.7122606662369337E-2</v>
      </c>
      <c r="I63" s="24">
        <f>G63</f>
        <v>9.5960597778708911E-2</v>
      </c>
      <c r="J63" s="24">
        <f>'[8]Calcul sous cat &gt;20'!N20/100</f>
        <v>4.7122606662369337E-2</v>
      </c>
    </row>
    <row r="64" spans="1:10" x14ac:dyDescent="0.25">
      <c r="A64" s="25" t="s">
        <v>25</v>
      </c>
      <c r="B64" s="90">
        <f>B63</f>
        <v>5.84</v>
      </c>
      <c r="C64" s="19">
        <f>SUM(C18:C63)</f>
        <v>15.671755102040823</v>
      </c>
      <c r="D64" s="19">
        <f>SUM(D18:D63)</f>
        <v>47.63</v>
      </c>
      <c r="E64" s="19">
        <f>SUM(E18:E63)</f>
        <v>2.2600000000000002</v>
      </c>
      <c r="F64" s="19">
        <f>SUM(B64:E64)</f>
        <v>71.401755102040838</v>
      </c>
      <c r="G64" s="21">
        <f t="shared" si="0"/>
        <v>1</v>
      </c>
      <c r="H64" s="21">
        <f>SUM(H18:H63)</f>
        <v>1.0003249917636725</v>
      </c>
      <c r="I64" s="24">
        <f>SUM(I18:I63)</f>
        <v>1</v>
      </c>
      <c r="J64" s="24">
        <f>SUM(J18:J63)</f>
        <v>0.99999999999999978</v>
      </c>
    </row>
    <row r="65" spans="1:10" ht="51.75" x14ac:dyDescent="0.25">
      <c r="A65" s="26" t="s">
        <v>75</v>
      </c>
      <c r="B65" s="235">
        <f>B64/$F$64</f>
        <v>8.1790706568122984E-2</v>
      </c>
      <c r="C65" s="235">
        <f>C64/$F$64</f>
        <v>0.21948697310933307</v>
      </c>
      <c r="D65" s="235">
        <f>D64/$F$64</f>
        <v>0.6670704373013181</v>
      </c>
      <c r="E65" s="235">
        <f>E64/$F$64</f>
        <v>3.165188302122568E-2</v>
      </c>
      <c r="F65" s="235">
        <f>F64/$F$64</f>
        <v>1</v>
      </c>
      <c r="G65" s="1"/>
      <c r="H65" s="1"/>
      <c r="I65" s="1"/>
      <c r="J65" s="1"/>
    </row>
  </sheetData>
  <mergeCells count="40">
    <mergeCell ref="I53:I62"/>
    <mergeCell ref="J53:J62"/>
    <mergeCell ref="A44:A45"/>
    <mergeCell ref="I44:I45"/>
    <mergeCell ref="J44:J45"/>
    <mergeCell ref="A46:A51"/>
    <mergeCell ref="I46:I51"/>
    <mergeCell ref="J46:J51"/>
    <mergeCell ref="A53:A62"/>
    <mergeCell ref="A36:A37"/>
    <mergeCell ref="I36:I37"/>
    <mergeCell ref="J36:J37"/>
    <mergeCell ref="A38:A42"/>
    <mergeCell ref="I38:I42"/>
    <mergeCell ref="J38:J42"/>
    <mergeCell ref="A28:A30"/>
    <mergeCell ref="I28:I30"/>
    <mergeCell ref="J28:J30"/>
    <mergeCell ref="A31:A34"/>
    <mergeCell ref="I31:I34"/>
    <mergeCell ref="J31:J34"/>
    <mergeCell ref="A18:A22"/>
    <mergeCell ref="I18:I22"/>
    <mergeCell ref="J18:J22"/>
    <mergeCell ref="A23:A27"/>
    <mergeCell ref="I23:I27"/>
    <mergeCell ref="J23:J27"/>
    <mergeCell ref="D12:F12"/>
    <mergeCell ref="A14:J14"/>
    <mergeCell ref="G16:G17"/>
    <mergeCell ref="H16:H17"/>
    <mergeCell ref="I16:I17"/>
    <mergeCell ref="J16:J17"/>
    <mergeCell ref="B2:F2"/>
    <mergeCell ref="B11:C11"/>
    <mergeCell ref="D11:F11"/>
    <mergeCell ref="B3:F3"/>
    <mergeCell ref="A7:J7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229"/>
  <sheetViews>
    <sheetView workbookViewId="0">
      <pane xSplit="2" ySplit="5" topLeftCell="S6" activePane="bottomRight" state="frozen"/>
      <selection activeCell="H4" sqref="H4"/>
      <selection pane="topRight" activeCell="H4" sqref="H4"/>
      <selection pane="bottomLeft" activeCell="H4" sqref="H4"/>
      <selection pane="bottomRight" activeCell="X52" sqref="A1:X52"/>
    </sheetView>
  </sheetViews>
  <sheetFormatPr baseColWidth="10" defaultRowHeight="15" x14ac:dyDescent="0.25"/>
  <cols>
    <col min="1" max="1" width="16.28515625" customWidth="1"/>
    <col min="2" max="2" width="26.85546875" customWidth="1"/>
    <col min="3" max="3" width="11.140625" hidden="1" customWidth="1"/>
    <col min="4" max="5" width="9.7109375" hidden="1" customWidth="1"/>
    <col min="6" max="13" width="8.28515625" hidden="1" customWidth="1"/>
    <col min="14" max="14" width="8" hidden="1" customWidth="1"/>
    <col min="15" max="18" width="11.42578125" hidden="1" customWidth="1"/>
  </cols>
  <sheetData>
    <row r="1" spans="1:26" x14ac:dyDescent="0.25">
      <c r="A1" s="540"/>
      <c r="B1" s="201"/>
      <c r="C1" s="540" t="str">
        <f>'ISS P15 PB BAN'!B2</f>
        <v>ISS-P15-PB-BAN</v>
      </c>
      <c r="D1" s="540"/>
      <c r="E1" s="505" t="str">
        <f>'ISS P15 PB PAR'!B2</f>
        <v>ISS-P15-PB-PAR</v>
      </c>
      <c r="F1" s="505"/>
      <c r="G1" s="505" t="str">
        <f>'IVR P15 PB BAN'!B2</f>
        <v>IVR P15 PB BAN</v>
      </c>
      <c r="H1" s="505"/>
      <c r="I1" s="505" t="str">
        <f>'IVR P15 PB PAR'!B2</f>
        <v>IVR P15 PB PAR</v>
      </c>
      <c r="J1" s="505"/>
      <c r="K1" s="505" t="str">
        <f>'ROM P15 PB BAN'!B2</f>
        <v>ROM P15 PB BAN</v>
      </c>
      <c r="L1" s="505"/>
      <c r="M1" s="505" t="str">
        <f>'ROM P15 PB PAR'!B2</f>
        <v>ROM P15 PB PAR</v>
      </c>
      <c r="N1" s="505"/>
      <c r="O1" s="505" t="str">
        <f>'STO HP5 PB BAN'!B2</f>
        <v>STO-P15-PB-BAN</v>
      </c>
      <c r="P1" s="505"/>
      <c r="Q1" s="505" t="str">
        <f>'STO P15 PB PAR '!B2</f>
        <v>STO-P15-PB-PAR</v>
      </c>
      <c r="R1" s="505"/>
      <c r="S1" s="506" t="s">
        <v>76</v>
      </c>
      <c r="T1" s="506"/>
      <c r="U1" s="539" t="s">
        <v>77</v>
      </c>
      <c r="V1" s="539"/>
      <c r="W1" s="539" t="s">
        <v>78</v>
      </c>
      <c r="X1" s="539"/>
    </row>
    <row r="2" spans="1:26" x14ac:dyDescent="0.25">
      <c r="A2" s="540"/>
      <c r="B2" s="202" t="str">
        <f>'[9]F 1 _ Echant et Séchage'!D5</f>
        <v>ISS A14 PB BAN</v>
      </c>
      <c r="C2" s="541">
        <f>'ISS P15 PB BAN'!G11</f>
        <v>0.30152380952380947</v>
      </c>
      <c r="D2" s="541"/>
      <c r="E2" s="541">
        <f>'ISS P15 PB PAR'!G11</f>
        <v>0.30757142857142861</v>
      </c>
      <c r="F2" s="541"/>
      <c r="G2" s="541">
        <f>'IVR P15 PB BAN'!G11</f>
        <v>0.28142222222222224</v>
      </c>
      <c r="H2" s="541"/>
      <c r="I2" s="541">
        <f>'IVR P15 PB PAR'!G11</f>
        <v>0.2266181818181818</v>
      </c>
      <c r="J2" s="541"/>
      <c r="K2" s="541">
        <f>'ROM P15 PB BAN'!G11</f>
        <v>0.20883333333333334</v>
      </c>
      <c r="L2" s="541"/>
      <c r="M2" s="541">
        <f>'ROM P15 PB PAR'!G11</f>
        <v>0.27817777777777775</v>
      </c>
      <c r="N2" s="541"/>
      <c r="O2" s="541">
        <f>'STO HP5 PB BAN'!G11</f>
        <v>0.24828000000000003</v>
      </c>
      <c r="P2" s="541"/>
      <c r="Q2" s="541">
        <f>'STO P15 PB PAR '!G11</f>
        <v>0.25231372549019609</v>
      </c>
      <c r="R2" s="541"/>
      <c r="S2" s="547">
        <f>AVERAGE(C2:R2)</f>
        <v>0.26309255984211871</v>
      </c>
      <c r="T2" s="547"/>
      <c r="U2" s="547">
        <f>AVERAGE(E2,I2,M2,Q2)</f>
        <v>0.26617027841439606</v>
      </c>
      <c r="V2" s="547"/>
      <c r="W2" s="547">
        <f>AVERAGE(C2,G2,K2,O2)</f>
        <v>0.26001484126984126</v>
      </c>
      <c r="X2" s="547"/>
    </row>
    <row r="3" spans="1:26" x14ac:dyDescent="0.25">
      <c r="A3" s="540"/>
      <c r="B3" s="202" t="s">
        <v>79</v>
      </c>
      <c r="C3" s="542">
        <f>'ISS P15 PB BAN'!G12</f>
        <v>0.45402716361339229</v>
      </c>
      <c r="D3" s="542"/>
      <c r="E3" s="511">
        <f>'ISS P15 PB PAR'!G12</f>
        <v>0.48129741446044272</v>
      </c>
      <c r="F3" s="511"/>
      <c r="G3" s="511">
        <f>'IVR P15 PB BAN'!G12</f>
        <v>0.40097915350600133</v>
      </c>
      <c r="H3" s="511"/>
      <c r="I3" s="511">
        <f>'IVR P15 PB PAR'!G12</f>
        <v>0.40085847240051342</v>
      </c>
      <c r="J3" s="511"/>
      <c r="K3" s="511">
        <f>'ROM P15 PB BAN'!G12</f>
        <v>0.4179569034317635</v>
      </c>
      <c r="L3" s="511"/>
      <c r="M3" s="511">
        <f>'ROM P15 PB PAR'!G12</f>
        <v>0.37450071896469084</v>
      </c>
      <c r="N3" s="511"/>
      <c r="O3" s="511">
        <f>'STO HP5 PB BAN'!G12</f>
        <v>0.33906879329788941</v>
      </c>
      <c r="P3" s="511"/>
      <c r="Q3" s="511">
        <f>'STO P15 PB PAR '!G12</f>
        <v>0.30789555486478087</v>
      </c>
      <c r="R3" s="511"/>
      <c r="S3" s="546">
        <f>AVERAGE(C3:R3)</f>
        <v>0.39707302181743426</v>
      </c>
      <c r="T3" s="546"/>
      <c r="U3" s="548">
        <f>AVERAGE(E3,I3,M3,Q3)</f>
        <v>0.39113804017260695</v>
      </c>
      <c r="V3" s="548"/>
      <c r="W3" s="548">
        <f>AVERAGE(C3,G3,K3,O3)</f>
        <v>0.40300800346226162</v>
      </c>
      <c r="X3" s="548"/>
    </row>
    <row r="4" spans="1:26" ht="15" customHeight="1" x14ac:dyDescent="0.25">
      <c r="A4" s="507"/>
      <c r="B4" s="508"/>
      <c r="C4" s="509" t="s">
        <v>16</v>
      </c>
      <c r="D4" s="510" t="s">
        <v>17</v>
      </c>
      <c r="E4" s="509" t="s">
        <v>16</v>
      </c>
      <c r="F4" s="510" t="s">
        <v>17</v>
      </c>
      <c r="G4" s="509" t="s">
        <v>16</v>
      </c>
      <c r="H4" s="510" t="s">
        <v>17</v>
      </c>
      <c r="I4" s="509" t="s">
        <v>16</v>
      </c>
      <c r="J4" s="510" t="s">
        <v>17</v>
      </c>
      <c r="K4" s="509" t="s">
        <v>16</v>
      </c>
      <c r="L4" s="510" t="s">
        <v>17</v>
      </c>
      <c r="M4" s="509" t="s">
        <v>16</v>
      </c>
      <c r="N4" s="510" t="s">
        <v>17</v>
      </c>
      <c r="O4" s="509" t="s">
        <v>16</v>
      </c>
      <c r="P4" s="510" t="s">
        <v>17</v>
      </c>
      <c r="Q4" s="509" t="s">
        <v>16</v>
      </c>
      <c r="R4" s="510" t="s">
        <v>17</v>
      </c>
      <c r="S4" s="545" t="s">
        <v>107</v>
      </c>
      <c r="T4" s="545" t="s">
        <v>108</v>
      </c>
      <c r="U4" s="545" t="s">
        <v>107</v>
      </c>
      <c r="V4" s="545" t="s">
        <v>108</v>
      </c>
      <c r="W4" s="545" t="s">
        <v>107</v>
      </c>
      <c r="X4" s="545" t="s">
        <v>108</v>
      </c>
    </row>
    <row r="5" spans="1:26" x14ac:dyDescent="0.25">
      <c r="A5" s="196" t="s">
        <v>20</v>
      </c>
      <c r="B5" s="206" t="s">
        <v>21</v>
      </c>
      <c r="C5" s="509"/>
      <c r="D5" s="510"/>
      <c r="E5" s="509"/>
      <c r="F5" s="510"/>
      <c r="G5" s="509"/>
      <c r="H5" s="510"/>
      <c r="I5" s="509"/>
      <c r="J5" s="510"/>
      <c r="K5" s="509"/>
      <c r="L5" s="510"/>
      <c r="M5" s="509"/>
      <c r="N5" s="510"/>
      <c r="O5" s="509"/>
      <c r="P5" s="510"/>
      <c r="Q5" s="509"/>
      <c r="R5" s="510"/>
      <c r="S5" s="545"/>
      <c r="T5" s="545"/>
      <c r="U5" s="545"/>
      <c r="V5" s="545"/>
      <c r="W5" s="545"/>
      <c r="X5" s="545"/>
    </row>
    <row r="6" spans="1:26" ht="25.5" x14ac:dyDescent="0.25">
      <c r="A6" s="544" t="s">
        <v>26</v>
      </c>
      <c r="B6" s="181" t="s">
        <v>119</v>
      </c>
      <c r="C6" s="174">
        <f>'ISS P15 PB BAN'!G18</f>
        <v>3.4846115636746416E-2</v>
      </c>
      <c r="D6" s="111">
        <f>'ISS P15 PB BAN'!H18</f>
        <v>7.7258518541606924E-2</v>
      </c>
      <c r="E6" s="111">
        <f>'ISS P15 PB PAR'!G18</f>
        <v>6.2197690171199665E-2</v>
      </c>
      <c r="F6" s="111">
        <f>'ISS P15 PB PAR'!H18</f>
        <v>0.1191629561006835</v>
      </c>
      <c r="G6" s="111">
        <f>'IVR P15 PB BAN'!G18</f>
        <v>1.9288049441641898E-2</v>
      </c>
      <c r="H6" s="111">
        <f>'IVR P15 PB BAN'!H18</f>
        <v>4.1411459905824143E-2</v>
      </c>
      <c r="I6" s="111">
        <f>'IVR P15 PB PAR'!G18</f>
        <v>3.4225289227190446E-2</v>
      </c>
      <c r="J6" s="111">
        <f>'IVR P15 PB PAR'!H18</f>
        <v>7.6066613552351614E-2</v>
      </c>
      <c r="K6" s="111">
        <f>'ROM P15 PB BAN'!G18</f>
        <v>6.7407145115331898E-2</v>
      </c>
      <c r="L6" s="111">
        <f>'ROM P15 PB BAN'!H18</f>
        <v>0.1365173676105492</v>
      </c>
      <c r="M6" s="111">
        <f>'ROM P15 PB PAR'!G18</f>
        <v>3.9769979199615453E-2</v>
      </c>
      <c r="N6" s="111">
        <f>'ROM P15 PB PAR'!H18</f>
        <v>6.8553284230800371E-2</v>
      </c>
      <c r="O6" s="111">
        <f>'STO HP5 PB BAN'!G18</f>
        <v>5.0341768276449615E-2</v>
      </c>
      <c r="P6" s="111">
        <f>'STO HP5 PB BAN'!H18</f>
        <v>0.11007529499152889</v>
      </c>
      <c r="Q6" s="111">
        <f>'STO P15 PB PAR '!G18</f>
        <v>1.8781908407899423E-2</v>
      </c>
      <c r="R6" s="111">
        <f>'STO P15 PB PAR '!H18</f>
        <v>4.4167411823978125E-2</v>
      </c>
      <c r="S6" s="62">
        <f>AVERAGE(C6,E6,G6,I6,K6,M6,O6,Q6)</f>
        <v>4.0857243184509354E-2</v>
      </c>
      <c r="T6" s="62">
        <f>AVERAGE(D6,F6,H6,J6,L6,N6,P6,R6)</f>
        <v>8.4151613344665338E-2</v>
      </c>
      <c r="U6" s="62">
        <f>AVERAGE(E6,I6,M6,Q6)</f>
        <v>3.8743716751476247E-2</v>
      </c>
      <c r="V6" s="62">
        <f>AVERAGE(F6,J6,N6,R6)</f>
        <v>7.6987566426953397E-2</v>
      </c>
      <c r="W6" s="62">
        <f>AVERAGE(C6,G6,K6,O6)</f>
        <v>4.2970769617542461E-2</v>
      </c>
      <c r="X6" s="62">
        <f>AVERAGE(D6,H6,L6,P6)</f>
        <v>9.1315660262377293E-2</v>
      </c>
      <c r="Y6" s="232">
        <f>+(W6+U6)/2-S6</f>
        <v>0</v>
      </c>
      <c r="Z6" s="232">
        <f>+(X6+V6)/2-T6</f>
        <v>0</v>
      </c>
    </row>
    <row r="7" spans="1:26" ht="25.5" x14ac:dyDescent="0.25">
      <c r="A7" s="544"/>
      <c r="B7" s="181" t="s">
        <v>27</v>
      </c>
      <c r="C7" s="174">
        <f>'ISS P15 PB BAN'!G19</f>
        <v>2.9994267018098961E-2</v>
      </c>
      <c r="D7" s="111">
        <f>'ISS P15 PB BAN'!H19</f>
        <v>6.650131850323146E-2</v>
      </c>
      <c r="E7" s="111">
        <f>'ISS P15 PB PAR'!G19</f>
        <v>0.12742791573800058</v>
      </c>
      <c r="F7" s="111">
        <f>'ISS P15 PB PAR'!H19</f>
        <v>0.24413586882877775</v>
      </c>
      <c r="G7" s="111">
        <f>'IVR P15 PB BAN'!G19</f>
        <v>7.9476488116867222E-2</v>
      </c>
      <c r="H7" s="111">
        <f>'IVR P15 PB BAN'!H19</f>
        <v>0.17063609314489547</v>
      </c>
      <c r="I7" s="111">
        <f>'IVR P15 PB PAR'!G19</f>
        <v>4.3376551090494896E-2</v>
      </c>
      <c r="J7" s="111">
        <f>'IVR P15 PB PAR'!H19</f>
        <v>9.6405535892833363E-2</v>
      </c>
      <c r="K7" s="111">
        <f>'ROM P15 PB BAN'!G19</f>
        <v>7.4773127088573033E-2</v>
      </c>
      <c r="L7" s="111">
        <f>'ROM P15 PB BAN'!H19</f>
        <v>0.15143543701006329</v>
      </c>
      <c r="M7" s="111">
        <f>'ROM P15 PB PAR'!G19</f>
        <v>0.25386162155960346</v>
      </c>
      <c r="N7" s="111">
        <f>'ROM P15 PB PAR'!H19</f>
        <v>0.43759258235256127</v>
      </c>
      <c r="O7" s="111">
        <f>'STO HP5 PB BAN'!G19</f>
        <v>2.7669068621360843E-2</v>
      </c>
      <c r="P7" s="111">
        <f>'STO HP5 PB BAN'!H19</f>
        <v>6.0500077667354227E-2</v>
      </c>
      <c r="Q7" s="111">
        <f>'STO P15 PB PAR '!G19</f>
        <v>2.2703380640617648E-2</v>
      </c>
      <c r="R7" s="111">
        <f>'STO P15 PB PAR '!H19</f>
        <v>5.3389120038991822E-2</v>
      </c>
      <c r="S7" s="62">
        <f t="shared" ref="S7:S51" si="0">AVERAGE(C7,E7,G7,I7,K7,M7,O7,Q7)</f>
        <v>8.2410302484202072E-2</v>
      </c>
      <c r="T7" s="62">
        <f t="shared" ref="T7:T51" si="1">AVERAGE(D7,F7,H7,J7,L7,N7,P7,R7)</f>
        <v>0.16007450417983859</v>
      </c>
      <c r="U7" s="62">
        <f t="shared" ref="U7:U51" si="2">AVERAGE(E7,I7,M7,Q7)</f>
        <v>0.11184236725717915</v>
      </c>
      <c r="V7" s="62">
        <f>AVERAGE(F7,J7,N7,R7)</f>
        <v>0.20788077677829103</v>
      </c>
      <c r="W7" s="62">
        <f t="shared" ref="W7:W51" si="3">AVERAGE(C7,G7,K7,O7)</f>
        <v>5.2978237711225014E-2</v>
      </c>
      <c r="X7" s="62">
        <f t="shared" ref="X7:X51" si="4">AVERAGE(D7,H7,L7,P7)</f>
        <v>0.1122682315813861</v>
      </c>
      <c r="Y7" s="232">
        <f t="shared" ref="Y7:Y51" si="5">+(W7+U7)/2-S7</f>
        <v>0</v>
      </c>
      <c r="Z7" s="232">
        <f t="shared" ref="Z7:Z51" si="6">+(X7+V7)/2-T7</f>
        <v>0</v>
      </c>
    </row>
    <row r="8" spans="1:26" x14ac:dyDescent="0.25">
      <c r="A8" s="544"/>
      <c r="B8" s="181" t="s">
        <v>28</v>
      </c>
      <c r="C8" s="174">
        <f>'ISS P15 PB BAN'!G20</f>
        <v>0</v>
      </c>
      <c r="D8" s="111">
        <f>'ISS P15 PB BAN'!H20</f>
        <v>0</v>
      </c>
      <c r="E8" s="111">
        <f>'ISS P15 PB PAR'!G20</f>
        <v>0</v>
      </c>
      <c r="F8" s="111">
        <f>'ISS P15 PB PAR'!H20</f>
        <v>0</v>
      </c>
      <c r="G8" s="111">
        <f>'IVR P15 PB BAN'!G20</f>
        <v>0</v>
      </c>
      <c r="H8" s="111">
        <f>'IVR P15 PB BAN'!H20</f>
        <v>0</v>
      </c>
      <c r="I8" s="111">
        <f>'IVR P15 PB PAR'!G20</f>
        <v>0</v>
      </c>
      <c r="J8" s="111">
        <f>'IVR P15 PB PAR'!H20</f>
        <v>0</v>
      </c>
      <c r="K8" s="111">
        <f>'ROM P15 PB BAN'!G20</f>
        <v>0</v>
      </c>
      <c r="L8" s="111">
        <f>'ROM P15 PB BAN'!H20</f>
        <v>0</v>
      </c>
      <c r="M8" s="111">
        <f>'ROM P15 PB PAR'!G20</f>
        <v>0</v>
      </c>
      <c r="N8" s="111">
        <f>'ROM P15 PB PAR'!H20</f>
        <v>0</v>
      </c>
      <c r="O8" s="111">
        <f>'STO HP5 PB BAN'!G20</f>
        <v>0</v>
      </c>
      <c r="P8" s="111">
        <f>'STO HP5 PB BAN'!H20</f>
        <v>0</v>
      </c>
      <c r="Q8" s="111">
        <f>'STO P15 PB PAR '!G20</f>
        <v>0</v>
      </c>
      <c r="R8" s="111">
        <f>'STO P15 PB PAR '!H20</f>
        <v>0</v>
      </c>
      <c r="S8" s="62">
        <f t="shared" si="0"/>
        <v>0</v>
      </c>
      <c r="T8" s="62">
        <f t="shared" si="1"/>
        <v>0</v>
      </c>
      <c r="U8" s="62">
        <f t="shared" si="2"/>
        <v>0</v>
      </c>
      <c r="V8" s="62">
        <f t="shared" ref="V8:V51" si="7">AVERAGE(F8,J8,N8,R8)</f>
        <v>0</v>
      </c>
      <c r="W8" s="62">
        <f t="shared" si="3"/>
        <v>0</v>
      </c>
      <c r="X8" s="62">
        <f t="shared" si="4"/>
        <v>0</v>
      </c>
      <c r="Y8" s="232">
        <f t="shared" si="5"/>
        <v>0</v>
      </c>
      <c r="Z8" s="232">
        <f t="shared" si="6"/>
        <v>0</v>
      </c>
    </row>
    <row r="9" spans="1:26" x14ac:dyDescent="0.25">
      <c r="A9" s="544"/>
      <c r="B9" s="181" t="s">
        <v>29</v>
      </c>
      <c r="C9" s="174">
        <f>'ISS P15 PB BAN'!G21</f>
        <v>0</v>
      </c>
      <c r="D9" s="111">
        <f>'ISS P15 PB BAN'!H21</f>
        <v>0</v>
      </c>
      <c r="E9" s="111">
        <f>'ISS P15 PB PAR'!G21</f>
        <v>0</v>
      </c>
      <c r="F9" s="111">
        <f>'ISS P15 PB PAR'!H21</f>
        <v>0</v>
      </c>
      <c r="G9" s="111">
        <f>'IVR P15 PB BAN'!G21</f>
        <v>0</v>
      </c>
      <c r="H9" s="111">
        <f>'IVR P15 PB BAN'!H21</f>
        <v>0</v>
      </c>
      <c r="I9" s="111">
        <f>'IVR P15 PB PAR'!G21</f>
        <v>1.1904167899739169E-3</v>
      </c>
      <c r="J9" s="111">
        <f>'IVR P15 PB PAR'!H21</f>
        <v>2.6457329061002704E-3</v>
      </c>
      <c r="K9" s="111">
        <f>'ROM P15 PB BAN'!G21</f>
        <v>3.20146376071738E-3</v>
      </c>
      <c r="L9" s="111">
        <f>'ROM P15 PB BAN'!H21</f>
        <v>6.4838142064304206E-3</v>
      </c>
      <c r="M9" s="111">
        <f>'ROM P15 PB PAR'!G21</f>
        <v>7.2153497540648824E-4</v>
      </c>
      <c r="N9" s="111">
        <f>'ROM P15 PB PAR'!H21</f>
        <v>1.2437419693692678E-3</v>
      </c>
      <c r="O9" s="111">
        <f>'STO HP5 PB BAN'!G21</f>
        <v>4.7925392979902863E-3</v>
      </c>
      <c r="P9" s="111">
        <f>'STO HP5 PB BAN'!H21</f>
        <v>1.0479174551195973E-2</v>
      </c>
      <c r="Q9" s="111">
        <f>'STO P15 PB PAR '!G21</f>
        <v>0</v>
      </c>
      <c r="R9" s="111">
        <f>'STO P15 PB PAR '!H21</f>
        <v>0</v>
      </c>
      <c r="S9" s="62">
        <f t="shared" si="0"/>
        <v>1.238244353011009E-3</v>
      </c>
      <c r="T9" s="62">
        <f t="shared" si="1"/>
        <v>2.6065579541369914E-3</v>
      </c>
      <c r="U9" s="62">
        <f t="shared" si="2"/>
        <v>4.7798794134510129E-4</v>
      </c>
      <c r="V9" s="62">
        <f t="shared" si="7"/>
        <v>9.723687188673846E-4</v>
      </c>
      <c r="W9" s="62">
        <f t="shared" si="3"/>
        <v>1.9985007646769167E-3</v>
      </c>
      <c r="X9" s="62">
        <f t="shared" si="4"/>
        <v>4.2407471894065985E-3</v>
      </c>
      <c r="Y9" s="232">
        <f t="shared" si="5"/>
        <v>0</v>
      </c>
      <c r="Z9" s="232">
        <f t="shared" si="6"/>
        <v>0</v>
      </c>
    </row>
    <row r="10" spans="1:26" x14ac:dyDescent="0.25">
      <c r="A10" s="544"/>
      <c r="B10" s="181" t="s">
        <v>30</v>
      </c>
      <c r="C10" s="174">
        <f>'ISS P15 PB BAN'!G22</f>
        <v>1.0342850695896203E-3</v>
      </c>
      <c r="D10" s="111">
        <f>'ISS P15 PB BAN'!H22</f>
        <v>2.2931489139045354E-3</v>
      </c>
      <c r="E10" s="111">
        <f>'ISS P15 PB PAR'!G22</f>
        <v>3.7068489720469386E-3</v>
      </c>
      <c r="F10" s="111">
        <f>'ISS P15 PB PAR'!H22</f>
        <v>7.101856678472426E-3</v>
      </c>
      <c r="G10" s="111">
        <f>'IVR P15 PB BAN'!G22</f>
        <v>0</v>
      </c>
      <c r="H10" s="111">
        <f>'IVR P15 PB BAN'!H22</f>
        <v>0</v>
      </c>
      <c r="I10" s="111">
        <f>'IVR P15 PB PAR'!G22</f>
        <v>1.3226853221932411E-4</v>
      </c>
      <c r="J10" s="111">
        <f>'IVR P15 PB PAR'!H22</f>
        <v>2.9397032290003007E-4</v>
      </c>
      <c r="K10" s="111">
        <f>'ROM P15 PB BAN'!G22</f>
        <v>0</v>
      </c>
      <c r="L10" s="111">
        <f>'ROM P15 PB BAN'!H22</f>
        <v>0</v>
      </c>
      <c r="M10" s="111">
        <f>'ROM P15 PB PAR'!G22</f>
        <v>7.2153497540648824E-4</v>
      </c>
      <c r="N10" s="111">
        <f>'ROM P15 PB PAR'!H22</f>
        <v>1.2437419693692678E-3</v>
      </c>
      <c r="O10" s="111">
        <f>'STO HP5 PB BAN'!G22</f>
        <v>0</v>
      </c>
      <c r="P10" s="111">
        <f>'STO HP5 PB BAN'!H22</f>
        <v>0</v>
      </c>
      <c r="Q10" s="111">
        <f>'STO P15 PB PAR '!G22</f>
        <v>0</v>
      </c>
      <c r="R10" s="111">
        <f>'STO P15 PB PAR '!H22</f>
        <v>0</v>
      </c>
      <c r="S10" s="62">
        <f t="shared" si="0"/>
        <v>6.993671936577964E-4</v>
      </c>
      <c r="T10" s="62">
        <f t="shared" si="1"/>
        <v>1.3665897355807826E-3</v>
      </c>
      <c r="U10" s="62">
        <f t="shared" si="2"/>
        <v>1.1401631199181878E-3</v>
      </c>
      <c r="V10" s="62">
        <f t="shared" si="7"/>
        <v>2.1598922426854308E-3</v>
      </c>
      <c r="W10" s="62">
        <f t="shared" si="3"/>
        <v>2.5857126739740508E-4</v>
      </c>
      <c r="X10" s="62">
        <f t="shared" si="4"/>
        <v>5.7328722847613386E-4</v>
      </c>
      <c r="Y10" s="232">
        <f t="shared" si="5"/>
        <v>0</v>
      </c>
      <c r="Z10" s="232">
        <f t="shared" si="6"/>
        <v>0</v>
      </c>
    </row>
    <row r="11" spans="1:26" x14ac:dyDescent="0.25">
      <c r="A11" s="543" t="s">
        <v>31</v>
      </c>
      <c r="B11" s="203" t="s">
        <v>32</v>
      </c>
      <c r="C11" s="176">
        <f>'ISS P15 PB BAN'!G23</f>
        <v>8.7449670493929873E-3</v>
      </c>
      <c r="D11" s="96">
        <f>'ISS P15 PB BAN'!H23</f>
        <v>8.1016170465534037E-3</v>
      </c>
      <c r="E11" s="96">
        <f>'ISS P15 PB PAR'!G23</f>
        <v>7.3879070910309293E-3</v>
      </c>
      <c r="F11" s="96">
        <f>'ISS P15 PB PAR'!H23</f>
        <v>5.8942587009552325E-3</v>
      </c>
      <c r="G11" s="96">
        <f>'IVR P15 PB BAN'!G23</f>
        <v>1.2757967814781258E-2</v>
      </c>
      <c r="H11" s="96">
        <f>'IVR P15 PB BAN'!H23</f>
        <v>1.1436441155288066E-2</v>
      </c>
      <c r="I11" s="96">
        <f>'IVR P15 PB PAR'!G23</f>
        <v>2.877754626602708E-2</v>
      </c>
      <c r="J11" s="96">
        <f>'IVR P15 PB PAR'!H23</f>
        <v>2.6661748889675704E-2</v>
      </c>
      <c r="K11" s="96">
        <f>'ROM P15 PB BAN'!G23</f>
        <v>2.7249107777228783E-2</v>
      </c>
      <c r="L11" s="96">
        <f>'ROM P15 PB BAN'!H23</f>
        <v>2.2868795228833103E-2</v>
      </c>
      <c r="M11" s="96">
        <f>'ROM P15 PB PAR'!G23</f>
        <v>4.6849330243442629E-2</v>
      </c>
      <c r="N11" s="96">
        <f>'ROM P15 PB PAR'!H23</f>
        <v>3.3600965460462803E-2</v>
      </c>
      <c r="O11" s="96">
        <f>'STO HP5 PB BAN'!G23</f>
        <v>2.2216971643919101E-2</v>
      </c>
      <c r="P11" s="96">
        <f>'STO HP5 PB BAN'!H23</f>
        <v>2.0382272514238506E-2</v>
      </c>
      <c r="Q11" s="96">
        <f>'STO P15 PB PAR '!G23</f>
        <v>3.1276885093432211E-2</v>
      </c>
      <c r="R11" s="96">
        <f>'STO P15 PB PAR '!H23</f>
        <v>3.0786303844473884E-2</v>
      </c>
      <c r="S11" s="60">
        <f t="shared" si="0"/>
        <v>2.3157585372406874E-2</v>
      </c>
      <c r="T11" s="60">
        <f t="shared" si="1"/>
        <v>1.9966550355060089E-2</v>
      </c>
      <c r="U11" s="60">
        <f t="shared" si="2"/>
        <v>2.857291717348321E-2</v>
      </c>
      <c r="V11" s="60">
        <f t="shared" si="7"/>
        <v>2.4235819223891907E-2</v>
      </c>
      <c r="W11" s="60">
        <f t="shared" si="3"/>
        <v>1.7742253571330531E-2</v>
      </c>
      <c r="X11" s="60">
        <f t="shared" si="4"/>
        <v>1.569728148622827E-2</v>
      </c>
      <c r="Y11" s="232">
        <f t="shared" si="5"/>
        <v>0</v>
      </c>
      <c r="Z11" s="232">
        <f t="shared" si="6"/>
        <v>0</v>
      </c>
    </row>
    <row r="12" spans="1:26" x14ac:dyDescent="0.25">
      <c r="A12" s="543"/>
      <c r="B12" s="203" t="s">
        <v>33</v>
      </c>
      <c r="C12" s="176">
        <f>'ISS P15 PB BAN'!G24</f>
        <v>3.4474467299796155E-2</v>
      </c>
      <c r="D12" s="96">
        <f>'ISS P15 PB BAN'!H24</f>
        <v>3.0900825299813285E-2</v>
      </c>
      <c r="E12" s="96">
        <f>'ISS P15 PB PAR'!G24</f>
        <v>1.7694869824186103E-2</v>
      </c>
      <c r="F12" s="96">
        <f>'ISS P15 PB PAR'!H24</f>
        <v>1.3632628621232394E-2</v>
      </c>
      <c r="G12" s="96">
        <f>'IVR P15 PB BAN'!G24</f>
        <v>8.8471454079125794E-3</v>
      </c>
      <c r="H12" s="96">
        <f>'IVR P15 PB BAN'!H24</f>
        <v>7.6622878162588325E-3</v>
      </c>
      <c r="I12" s="96">
        <f>'IVR P15 PB PAR'!G24</f>
        <v>2.8622695301477621E-2</v>
      </c>
      <c r="J12" s="96">
        <f>'IVR P15 PB PAR'!H24</f>
        <v>2.5623678944832921E-2</v>
      </c>
      <c r="K12" s="96">
        <f>'ROM P15 PB BAN'!G24</f>
        <v>2.7257312713985384E-2</v>
      </c>
      <c r="L12" s="96">
        <f>'ROM P15 PB BAN'!H24</f>
        <v>2.2105795288269375E-2</v>
      </c>
      <c r="M12" s="96">
        <f>'ROM P15 PB PAR'!G24</f>
        <v>2.5066293189481312E-2</v>
      </c>
      <c r="N12" s="96">
        <f>'ROM P15 PB PAR'!H24</f>
        <v>1.7386009185773182E-2</v>
      </c>
      <c r="O12" s="96">
        <f>'STO HP5 PB BAN'!G24</f>
        <v>7.9142299546231712E-2</v>
      </c>
      <c r="P12" s="96">
        <f>'STO HP5 PB BAN'!H24</f>
        <v>7.0232838081214916E-2</v>
      </c>
      <c r="Q12" s="96">
        <f>'STO P15 PB PAR '!G24</f>
        <v>5.2133858254213135E-2</v>
      </c>
      <c r="R12" s="96">
        <f>'STO P15 PB PAR '!H24</f>
        <v>4.9566170052182675E-2</v>
      </c>
      <c r="S12" s="60">
        <f t="shared" si="0"/>
        <v>3.4154867692160501E-2</v>
      </c>
      <c r="T12" s="60">
        <f t="shared" si="1"/>
        <v>2.9638779161197198E-2</v>
      </c>
      <c r="U12" s="60">
        <f t="shared" si="2"/>
        <v>3.0879429142339543E-2</v>
      </c>
      <c r="V12" s="60">
        <f t="shared" si="7"/>
        <v>2.6552121701005293E-2</v>
      </c>
      <c r="W12" s="60">
        <f t="shared" si="3"/>
        <v>3.7430306241981459E-2</v>
      </c>
      <c r="X12" s="60">
        <f t="shared" si="4"/>
        <v>3.2725436621389103E-2</v>
      </c>
      <c r="Y12" s="232">
        <f t="shared" si="5"/>
        <v>0</v>
      </c>
      <c r="Z12" s="232">
        <f t="shared" si="6"/>
        <v>0</v>
      </c>
    </row>
    <row r="13" spans="1:26" x14ac:dyDescent="0.25">
      <c r="A13" s="543"/>
      <c r="B13" s="203" t="s">
        <v>34</v>
      </c>
      <c r="C13" s="176">
        <f>'ISS P15 PB BAN'!G25</f>
        <v>3.6594088034710336E-2</v>
      </c>
      <c r="D13" s="96">
        <f>'ISS P15 PB BAN'!H25</f>
        <v>3.2800724998389118E-2</v>
      </c>
      <c r="E13" s="96">
        <f>'ISS P15 PB PAR'!G25</f>
        <v>0</v>
      </c>
      <c r="F13" s="96">
        <f>'ISS P15 PB PAR'!H25</f>
        <v>0</v>
      </c>
      <c r="G13" s="96">
        <f>'IVR P15 PB BAN'!G25</f>
        <v>3.8375075413811716E-2</v>
      </c>
      <c r="H13" s="96">
        <f>'IVR P15 PB BAN'!H25</f>
        <v>3.3235677637702597E-2</v>
      </c>
      <c r="I13" s="96">
        <f>'IVR P15 PB PAR'!G25</f>
        <v>1.5342074383521106E-2</v>
      </c>
      <c r="J13" s="96">
        <f>'IVR P15 PB PAR'!H25</f>
        <v>1.3734569166545111E-2</v>
      </c>
      <c r="K13" s="96">
        <f>'ROM P15 PB BAN'!G25</f>
        <v>1.0294631586801438E-2</v>
      </c>
      <c r="L13" s="96">
        <f>'ROM P15 PB BAN'!H25</f>
        <v>8.3489895285686205E-3</v>
      </c>
      <c r="M13" s="96">
        <f>'ROM P15 PB PAR'!G25</f>
        <v>9.6959662288002759E-3</v>
      </c>
      <c r="N13" s="96">
        <f>'ROM P15 PB PAR'!H25</f>
        <v>6.7251330958503176E-3</v>
      </c>
      <c r="O13" s="96">
        <f>'STO HP5 PB BAN'!G25</f>
        <v>5.7132392962154438E-3</v>
      </c>
      <c r="P13" s="96">
        <f>'STO HP5 PB BAN'!H25</f>
        <v>5.0700701484663793E-3</v>
      </c>
      <c r="Q13" s="96">
        <f>'STO P15 PB PAR '!G25</f>
        <v>4.2221565467721331E-3</v>
      </c>
      <c r="R13" s="96">
        <f>'STO P15 PB PAR '!H25</f>
        <v>4.0142075877787438E-3</v>
      </c>
      <c r="S13" s="60">
        <f t="shared" si="0"/>
        <v>1.5029653936329056E-2</v>
      </c>
      <c r="T13" s="60">
        <f t="shared" si="1"/>
        <v>1.2991171520412612E-2</v>
      </c>
      <c r="U13" s="60">
        <f t="shared" si="2"/>
        <v>7.3150492897733786E-3</v>
      </c>
      <c r="V13" s="60">
        <f t="shared" si="7"/>
        <v>6.1184774625435432E-3</v>
      </c>
      <c r="W13" s="60">
        <f t="shared" si="3"/>
        <v>2.2744258582884737E-2</v>
      </c>
      <c r="X13" s="60">
        <f t="shared" si="4"/>
        <v>1.9863865578281677E-2</v>
      </c>
      <c r="Y13" s="232">
        <f t="shared" si="5"/>
        <v>0</v>
      </c>
      <c r="Z13" s="232">
        <f t="shared" si="6"/>
        <v>0</v>
      </c>
    </row>
    <row r="14" spans="1:26" x14ac:dyDescent="0.25">
      <c r="A14" s="543"/>
      <c r="B14" s="203" t="s">
        <v>35</v>
      </c>
      <c r="C14" s="176">
        <f>'ISS P15 PB BAN'!G26</f>
        <v>2.3510841359763258E-2</v>
      </c>
      <c r="D14" s="96">
        <f>'ISS P15 PB BAN'!H26</f>
        <v>2.1285078679266999E-2</v>
      </c>
      <c r="E14" s="96">
        <f>'ISS P15 PB PAR'!G26</f>
        <v>1.0069217960374939E-2</v>
      </c>
      <c r="F14" s="96">
        <f>'ISS P15 PB PAR'!H26</f>
        <v>7.8332699546516046E-3</v>
      </c>
      <c r="G14" s="96">
        <f>'IVR P15 PB BAN'!G26</f>
        <v>2.3028723355957299E-2</v>
      </c>
      <c r="H14" s="96">
        <f>'IVR P15 PB BAN'!H26</f>
        <v>2.0140581289066005E-2</v>
      </c>
      <c r="I14" s="96">
        <f>'IVR P15 PB PAR'!G26</f>
        <v>2.2800729175986405E-2</v>
      </c>
      <c r="J14" s="96">
        <f>'IVR P15 PB PAR'!H26</f>
        <v>2.0612644913490682E-2</v>
      </c>
      <c r="K14" s="96">
        <f>'ROM P15 PB BAN'!G26</f>
        <v>1.8855970283770309E-3</v>
      </c>
      <c r="L14" s="96">
        <f>'ROM P15 PB BAN'!H26</f>
        <v>1.5442982509847455E-3</v>
      </c>
      <c r="M14" s="96">
        <f>'ROM P15 PB PAR'!G26</f>
        <v>3.3173794482705432E-3</v>
      </c>
      <c r="N14" s="96">
        <f>'ROM P15 PB PAR'!H26</f>
        <v>2.3238669429482411E-3</v>
      </c>
      <c r="O14" s="96">
        <f>'STO HP5 PB BAN'!G26</f>
        <v>8.3912191103301781E-2</v>
      </c>
      <c r="P14" s="96">
        <f>'STO HP5 PB BAN'!H26</f>
        <v>7.5210344781563562E-2</v>
      </c>
      <c r="Q14" s="96">
        <f>'STO P15 PB PAR '!G26</f>
        <v>0.25009389239274404</v>
      </c>
      <c r="R14" s="96">
        <f>'STO P15 PB PAR '!H26</f>
        <v>0.24010379747287469</v>
      </c>
      <c r="S14" s="60">
        <f t="shared" si="0"/>
        <v>5.2327321478096912E-2</v>
      </c>
      <c r="T14" s="60">
        <f t="shared" si="1"/>
        <v>4.8631735285605819E-2</v>
      </c>
      <c r="U14" s="60">
        <f t="shared" si="2"/>
        <v>7.1570304744343977E-2</v>
      </c>
      <c r="V14" s="60">
        <f t="shared" si="7"/>
        <v>6.7718394820991304E-2</v>
      </c>
      <c r="W14" s="60">
        <f t="shared" si="3"/>
        <v>3.3084338211849841E-2</v>
      </c>
      <c r="X14" s="60">
        <f t="shared" si="4"/>
        <v>2.9545075750220327E-2</v>
      </c>
      <c r="Y14" s="232">
        <f t="shared" si="5"/>
        <v>0</v>
      </c>
      <c r="Z14" s="232">
        <f t="shared" si="6"/>
        <v>0</v>
      </c>
    </row>
    <row r="15" spans="1:26" x14ac:dyDescent="0.25">
      <c r="A15" s="543"/>
      <c r="B15" s="203" t="s">
        <v>36</v>
      </c>
      <c r="C15" s="176">
        <f>'ISS P15 PB BAN'!G27</f>
        <v>3.8781095555994592E-2</v>
      </c>
      <c r="D15" s="96">
        <f>'ISS P15 PB BAN'!H27</f>
        <v>3.5852917445231912E-2</v>
      </c>
      <c r="E15" s="96">
        <f>'ISS P15 PB PAR'!G27</f>
        <v>2.6043603422962018E-2</v>
      </c>
      <c r="F15" s="96">
        <f>'ISS P15 PB PAR'!H27</f>
        <v>2.0691637114441837E-2</v>
      </c>
      <c r="G15" s="96">
        <f>'IVR P15 PB BAN'!G27</f>
        <v>2.5669662283692399E-2</v>
      </c>
      <c r="H15" s="96">
        <f>'IVR P15 PB BAN'!H27</f>
        <v>2.2927446260876252E-2</v>
      </c>
      <c r="I15" s="96">
        <f>'IVR P15 PB PAR'!G27</f>
        <v>1.8516519156784886E-2</v>
      </c>
      <c r="J15" s="96">
        <f>'IVR P15 PB PAR'!H27</f>
        <v>1.709522306689774E-2</v>
      </c>
      <c r="K15" s="96">
        <f>'ROM P15 PB BAN'!G27</f>
        <v>6.4440034860725026E-2</v>
      </c>
      <c r="L15" s="96">
        <f>'ROM P15 PB BAN'!H27</f>
        <v>5.389722171633779E-2</v>
      </c>
      <c r="M15" s="96">
        <f>'ROM P15 PB PAR'!G27</f>
        <v>6.8780729526754202E-3</v>
      </c>
      <c r="N15" s="96">
        <f>'ROM P15 PB PAR'!H27</f>
        <v>4.9203028588463062E-3</v>
      </c>
      <c r="O15" s="96">
        <f>'STO HP5 PB BAN'!G27</f>
        <v>1.2875009613734927E-2</v>
      </c>
      <c r="P15" s="96">
        <f>'STO HP5 PB BAN'!H27</f>
        <v>1.1784278866796899E-2</v>
      </c>
      <c r="Q15" s="96">
        <f>'STO P15 PB PAR '!G27</f>
        <v>2.9711726059440599E-2</v>
      </c>
      <c r="R15" s="96">
        <f>'STO P15 PB PAR '!H27</f>
        <v>2.9131574232351572E-2</v>
      </c>
      <c r="S15" s="60">
        <f t="shared" si="0"/>
        <v>2.7864465488251236E-2</v>
      </c>
      <c r="T15" s="60">
        <f t="shared" si="1"/>
        <v>2.4537575195222538E-2</v>
      </c>
      <c r="U15" s="60">
        <f t="shared" si="2"/>
        <v>2.028748039796573E-2</v>
      </c>
      <c r="V15" s="60">
        <f t="shared" si="7"/>
        <v>1.7959684318134363E-2</v>
      </c>
      <c r="W15" s="60">
        <f t="shared" si="3"/>
        <v>3.5441450578536732E-2</v>
      </c>
      <c r="X15" s="60">
        <f t="shared" si="4"/>
        <v>3.1115466072310711E-2</v>
      </c>
      <c r="Y15" s="232">
        <f t="shared" si="5"/>
        <v>0</v>
      </c>
      <c r="Z15" s="232">
        <f t="shared" si="6"/>
        <v>0</v>
      </c>
    </row>
    <row r="16" spans="1:26" x14ac:dyDescent="0.25">
      <c r="A16" s="544" t="s">
        <v>37</v>
      </c>
      <c r="B16" s="181" t="s">
        <v>38</v>
      </c>
      <c r="C16" s="174">
        <f>'ISS P15 PB BAN'!G28</f>
        <v>4.2362805352757063E-2</v>
      </c>
      <c r="D16" s="111">
        <f>'ISS P15 PB BAN'!H28</f>
        <v>3.8319675541824992E-2</v>
      </c>
      <c r="E16" s="111">
        <f>'ISS P15 PB PAR'!G28</f>
        <v>1.2719579806043413E-2</v>
      </c>
      <c r="F16" s="111">
        <f>'ISS P15 PB PAR'!H28</f>
        <v>9.9610408802212908E-3</v>
      </c>
      <c r="G16" s="111">
        <f>'IVR P15 PB BAN'!G28</f>
        <v>6.4656355144631861E-2</v>
      </c>
      <c r="H16" s="111">
        <f>'IVR P15 PB BAN'!H28</f>
        <v>5.6745272985387611E-2</v>
      </c>
      <c r="I16" s="111">
        <f>'IVR P15 PB PAR'!G28</f>
        <v>6.4884704854061559E-2</v>
      </c>
      <c r="J16" s="111">
        <f>'IVR P15 PB PAR'!H28</f>
        <v>5.8998617248105949E-2</v>
      </c>
      <c r="K16" s="111">
        <f>'ROM P15 PB BAN'!G28</f>
        <v>4.01513708269884E-2</v>
      </c>
      <c r="L16" s="111">
        <f>'ROM P15 PB BAN'!H28</f>
        <v>3.3268024130253239E-2</v>
      </c>
      <c r="M16" s="111">
        <f>'ROM P15 PB PAR'!G28</f>
        <v>3.1479003282761597E-2</v>
      </c>
      <c r="N16" s="111">
        <f>'ROM P15 PB PAR'!H28</f>
        <v>2.2249921402652573E-2</v>
      </c>
      <c r="O16" s="111">
        <f>'STO HP5 PB BAN'!G28</f>
        <v>5.4357813600033132E-2</v>
      </c>
      <c r="P16" s="111">
        <f>'STO HP5 PB BAN'!H28</f>
        <v>4.8619886123075468E-2</v>
      </c>
      <c r="Q16" s="111">
        <f>'STO P15 PB PAR '!G28</f>
        <v>3.9399934718348538E-2</v>
      </c>
      <c r="R16" s="111">
        <f>'STO P15 PB PAR '!H28</f>
        <v>3.7776551853411444E-2</v>
      </c>
      <c r="S16" s="62">
        <f t="shared" si="0"/>
        <v>4.3751445948203189E-2</v>
      </c>
      <c r="T16" s="62">
        <f t="shared" si="1"/>
        <v>3.8242373770616567E-2</v>
      </c>
      <c r="U16" s="62">
        <f t="shared" si="2"/>
        <v>3.7120805665303777E-2</v>
      </c>
      <c r="V16" s="62">
        <f t="shared" si="7"/>
        <v>3.2246532846097811E-2</v>
      </c>
      <c r="W16" s="62">
        <f t="shared" si="3"/>
        <v>5.0382086231102616E-2</v>
      </c>
      <c r="X16" s="62">
        <f t="shared" si="4"/>
        <v>4.4238214695135329E-2</v>
      </c>
      <c r="Y16" s="232">
        <f t="shared" si="5"/>
        <v>0</v>
      </c>
      <c r="Z16" s="232">
        <f t="shared" si="6"/>
        <v>0</v>
      </c>
    </row>
    <row r="17" spans="1:26" x14ac:dyDescent="0.25">
      <c r="A17" s="544"/>
      <c r="B17" s="181" t="s">
        <v>39</v>
      </c>
      <c r="C17" s="174">
        <f>'ISS P15 PB BAN'!G29</f>
        <v>1.1292391776565837E-2</v>
      </c>
      <c r="D17" s="111">
        <f>'ISS P15 PB BAN'!H29</f>
        <v>1.0220699066386283E-2</v>
      </c>
      <c r="E17" s="111">
        <f>'ISS P15 PB PAR'!G29</f>
        <v>8.7779402862034409E-2</v>
      </c>
      <c r="F17" s="111">
        <f>'ISS P15 PB PAR'!H29</f>
        <v>6.8823765777081242E-2</v>
      </c>
      <c r="G17" s="111">
        <f>'IVR P15 PB BAN'!G29</f>
        <v>7.5194493747973235E-3</v>
      </c>
      <c r="H17" s="111">
        <f>'IVR P15 PB BAN'!H29</f>
        <v>6.6061793002478945E-3</v>
      </c>
      <c r="I17" s="111">
        <f>'IVR P15 PB PAR'!G29</f>
        <v>2.6241861721529786E-2</v>
      </c>
      <c r="J17" s="111">
        <f>'IVR P15 PB PAR'!H29</f>
        <v>2.3884963154584729E-2</v>
      </c>
      <c r="K17" s="111">
        <f>'ROM P15 PB BAN'!G29</f>
        <v>3.096440570232847E-2</v>
      </c>
      <c r="L17" s="111">
        <f>'ROM P15 PB BAN'!H29</f>
        <v>2.5680811852795613E-2</v>
      </c>
      <c r="M17" s="111">
        <f>'ROM P15 PB PAR'!G29</f>
        <v>3.8378836029075027E-2</v>
      </c>
      <c r="N17" s="111">
        <f>'ROM P15 PB PAR'!H29</f>
        <v>2.7146730882596594E-2</v>
      </c>
      <c r="O17" s="111">
        <f>'STO HP5 PB BAN'!G29</f>
        <v>4.7893963461891148E-2</v>
      </c>
      <c r="P17" s="111">
        <f>'STO HP5 PB BAN'!H29</f>
        <v>4.2866647430504015E-2</v>
      </c>
      <c r="Q17" s="111">
        <f>'STO P15 PB PAR '!G29</f>
        <v>4.4864843544119126E-2</v>
      </c>
      <c r="R17" s="111">
        <f>'STO P15 PB PAR '!H29</f>
        <v>4.3063960437003418E-2</v>
      </c>
      <c r="S17" s="62">
        <f t="shared" si="0"/>
        <v>3.6866894309042636E-2</v>
      </c>
      <c r="T17" s="62">
        <f t="shared" si="1"/>
        <v>3.1036719737649977E-2</v>
      </c>
      <c r="U17" s="62">
        <f t="shared" si="2"/>
        <v>4.9316236039189588E-2</v>
      </c>
      <c r="V17" s="62">
        <f t="shared" si="7"/>
        <v>4.0729855062816497E-2</v>
      </c>
      <c r="W17" s="62">
        <f t="shared" si="3"/>
        <v>2.4417552578895694E-2</v>
      </c>
      <c r="X17" s="62">
        <f t="shared" si="4"/>
        <v>2.1343584412483452E-2</v>
      </c>
      <c r="Y17" s="232">
        <f t="shared" si="5"/>
        <v>0</v>
      </c>
      <c r="Z17" s="232">
        <f t="shared" si="6"/>
        <v>0</v>
      </c>
    </row>
    <row r="18" spans="1:26" x14ac:dyDescent="0.25">
      <c r="A18" s="544"/>
      <c r="B18" s="181" t="s">
        <v>40</v>
      </c>
      <c r="C18" s="174">
        <f>'ISS P15 PB BAN'!G30</f>
        <v>9.2912084237566986E-3</v>
      </c>
      <c r="D18" s="111">
        <f>'ISS P15 PB BAN'!H30</f>
        <v>8.5825245282855119E-3</v>
      </c>
      <c r="E18" s="111">
        <f>'ISS P15 PB PAR'!G30</f>
        <v>9.4492996376619662E-3</v>
      </c>
      <c r="F18" s="111">
        <f>'ISS P15 PB PAR'!H30</f>
        <v>7.5577874708465673E-3</v>
      </c>
      <c r="G18" s="111">
        <f>'IVR P15 PB BAN'!G30</f>
        <v>9.2432862470728534E-4</v>
      </c>
      <c r="H18" s="111">
        <f>'IVR P15 PB BAN'!H30</f>
        <v>8.2850044995975785E-4</v>
      </c>
      <c r="I18" s="111">
        <f>'IVR P15 PB PAR'!G30</f>
        <v>0</v>
      </c>
      <c r="J18" s="111">
        <f>'IVR P15 PB PAR'!H30</f>
        <v>0</v>
      </c>
      <c r="K18" s="111">
        <f>'ROM P15 PB BAN'!G30</f>
        <v>2.792242539981761E-3</v>
      </c>
      <c r="L18" s="111">
        <f>'ROM P15 PB BAN'!H30</f>
        <v>2.362771475722504E-3</v>
      </c>
      <c r="M18" s="111">
        <f>'ROM P15 PB PAR'!G30</f>
        <v>2.3866537294802686E-3</v>
      </c>
      <c r="N18" s="111">
        <f>'ROM P15 PB PAR'!H30</f>
        <v>1.7227261181491744E-3</v>
      </c>
      <c r="O18" s="111">
        <f>'STO HP5 PB BAN'!G30</f>
        <v>8.8298457661111444E-3</v>
      </c>
      <c r="P18" s="111">
        <f>'STO HP5 PB BAN'!H30</f>
        <v>8.0652411044288812E-3</v>
      </c>
      <c r="Q18" s="111">
        <f>'STO P15 PB PAR '!G30</f>
        <v>1.5648732124003136E-2</v>
      </c>
      <c r="R18" s="111">
        <f>'STO P15 PB PAR '!H30</f>
        <v>1.5323631903892963E-2</v>
      </c>
      <c r="S18" s="62">
        <f t="shared" si="0"/>
        <v>6.1652888557127816E-3</v>
      </c>
      <c r="T18" s="62">
        <f t="shared" si="1"/>
        <v>5.5553978814106703E-3</v>
      </c>
      <c r="U18" s="62">
        <f t="shared" si="2"/>
        <v>6.8711713727863423E-3</v>
      </c>
      <c r="V18" s="62">
        <f t="shared" si="7"/>
        <v>6.1510363732221757E-3</v>
      </c>
      <c r="W18" s="62">
        <f t="shared" si="3"/>
        <v>5.4594063386392225E-3</v>
      </c>
      <c r="X18" s="62">
        <f t="shared" si="4"/>
        <v>4.9597593895991639E-3</v>
      </c>
      <c r="Y18" s="232">
        <f t="shared" si="5"/>
        <v>0</v>
      </c>
      <c r="Z18" s="232">
        <f t="shared" si="6"/>
        <v>0</v>
      </c>
    </row>
    <row r="19" spans="1:26" x14ac:dyDescent="0.25">
      <c r="A19" s="543" t="s">
        <v>41</v>
      </c>
      <c r="B19" s="203" t="s">
        <v>42</v>
      </c>
      <c r="C19" s="176">
        <f>'ISS P15 PB BAN'!G31</f>
        <v>9.6026170577397599E-3</v>
      </c>
      <c r="D19" s="96">
        <f>'ISS P15 PB BAN'!H31</f>
        <v>1.0967599741835197E-2</v>
      </c>
      <c r="E19" s="96">
        <f>'ISS P15 PB PAR'!G31</f>
        <v>7.5093585627273429E-3</v>
      </c>
      <c r="F19" s="96">
        <f>'ISS P15 PB PAR'!H31</f>
        <v>7.4233324389977352E-3</v>
      </c>
      <c r="G19" s="96">
        <f>'IVR P15 PB BAN'!G31</f>
        <v>3.5652675524423835E-3</v>
      </c>
      <c r="H19" s="96">
        <f>'IVR P15 PB BAN'!H31</f>
        <v>3.9391892287872566E-3</v>
      </c>
      <c r="I19" s="96">
        <f>'IVR P15 PB PAR'!G31</f>
        <v>1.2114292055801409E-2</v>
      </c>
      <c r="J19" s="96">
        <f>'IVR P15 PB PAR'!H31</f>
        <v>1.3867413912958097E-2</v>
      </c>
      <c r="K19" s="96">
        <f>'ROM P15 PB BAN'!G31</f>
        <v>1.4065825643555494E-2</v>
      </c>
      <c r="L19" s="96">
        <f>'ROM P15 PB BAN'!H31</f>
        <v>1.468719144906889E-2</v>
      </c>
      <c r="M19" s="96">
        <f>'ROM P15 PB PAR'!G31</f>
        <v>7.4161333044521546E-3</v>
      </c>
      <c r="N19" s="96">
        <f>'ROM P15 PB PAR'!H31</f>
        <v>6.6068790215460995E-3</v>
      </c>
      <c r="O19" s="96">
        <f>'STO HP5 PB BAN'!G31</f>
        <v>2.0664908092694169E-3</v>
      </c>
      <c r="P19" s="96">
        <f>'STO HP5 PB BAN'!H31</f>
        <v>2.3312921788331718E-3</v>
      </c>
      <c r="Q19" s="96">
        <f>'STO P15 PB PAR '!G31</f>
        <v>1.1272803561108377E-3</v>
      </c>
      <c r="R19" s="96">
        <f>'STO P15 PB PAR '!H31</f>
        <v>1.3655293188090298E-3</v>
      </c>
      <c r="S19" s="60">
        <f t="shared" si="0"/>
        <v>7.1834081677623497E-3</v>
      </c>
      <c r="T19" s="60">
        <f t="shared" si="1"/>
        <v>7.6485534113544347E-3</v>
      </c>
      <c r="U19" s="60">
        <f t="shared" si="2"/>
        <v>7.0417660697729353E-3</v>
      </c>
      <c r="V19" s="60">
        <f t="shared" si="7"/>
        <v>7.3157886730777404E-3</v>
      </c>
      <c r="W19" s="60">
        <f t="shared" si="3"/>
        <v>7.3250502657517631E-3</v>
      </c>
      <c r="X19" s="60">
        <f t="shared" si="4"/>
        <v>7.9813181496311281E-3</v>
      </c>
      <c r="Y19" s="232">
        <f t="shared" si="5"/>
        <v>0</v>
      </c>
      <c r="Z19" s="232">
        <f t="shared" si="6"/>
        <v>0</v>
      </c>
    </row>
    <row r="20" spans="1:26" x14ac:dyDescent="0.25">
      <c r="A20" s="543"/>
      <c r="B20" s="203" t="s">
        <v>43</v>
      </c>
      <c r="C20" s="176">
        <f>'ISS P15 PB BAN'!G32</f>
        <v>1.2882107327751467E-2</v>
      </c>
      <c r="D20" s="96">
        <f>'ISS P15 PB BAN'!H32</f>
        <v>1.471325953670757E-2</v>
      </c>
      <c r="E20" s="96">
        <f>'ISS P15 PB PAR'!G32</f>
        <v>8.555529347880628E-3</v>
      </c>
      <c r="F20" s="96">
        <f>'ISS P15 PB PAR'!H32</f>
        <v>8.4575184432068001E-3</v>
      </c>
      <c r="G20" s="96">
        <f>'IVR P15 PB BAN'!G32</f>
        <v>1.3535796354606364E-2</v>
      </c>
      <c r="H20" s="96">
        <f>'IVR P15 PB BAN'!H32</f>
        <v>1.4955417067253856E-2</v>
      </c>
      <c r="I20" s="96">
        <f>'IVR P15 PB PAR'!G32</f>
        <v>6.6123512570457231E-3</v>
      </c>
      <c r="J20" s="96">
        <f>'IVR P15 PB PAR'!H32</f>
        <v>7.5692588057929026E-3</v>
      </c>
      <c r="K20" s="96">
        <f>'ROM P15 PB BAN'!G32</f>
        <v>9.8772054293092201E-3</v>
      </c>
      <c r="L20" s="96">
        <f>'ROM P15 PB BAN'!H32</f>
        <v>1.0313536567155787E-2</v>
      </c>
      <c r="M20" s="96">
        <f>'ROM P15 PB PAR'!G32</f>
        <v>1.0204106864324724E-2</v>
      </c>
      <c r="N20" s="96">
        <f>'ROM P15 PB PAR'!H32</f>
        <v>9.0906267198633938E-3</v>
      </c>
      <c r="O20" s="96">
        <f>'STO HP5 PB BAN'!G32</f>
        <v>1.0930077087363712E-2</v>
      </c>
      <c r="P20" s="96">
        <f>'STO HP5 PB BAN'!H32</f>
        <v>1.2330663709471446E-2</v>
      </c>
      <c r="Q20" s="96">
        <f>'STO P15 PB PAR '!G32</f>
        <v>1.6752575109626872E-2</v>
      </c>
      <c r="R20" s="96">
        <f>'STO P15 PB PAR '!H32</f>
        <v>2.0293205992402336E-2</v>
      </c>
      <c r="S20" s="60">
        <f t="shared" si="0"/>
        <v>1.1168718597238588E-2</v>
      </c>
      <c r="T20" s="60">
        <f t="shared" si="1"/>
        <v>1.2215435855231761E-2</v>
      </c>
      <c r="U20" s="60">
        <f t="shared" si="2"/>
        <v>1.0531140644719487E-2</v>
      </c>
      <c r="V20" s="60">
        <f t="shared" si="7"/>
        <v>1.1352652490316358E-2</v>
      </c>
      <c r="W20" s="60">
        <f t="shared" si="3"/>
        <v>1.180629654975769E-2</v>
      </c>
      <c r="X20" s="60">
        <f t="shared" si="4"/>
        <v>1.3078219220147165E-2</v>
      </c>
      <c r="Y20" s="232">
        <f t="shared" si="5"/>
        <v>0</v>
      </c>
      <c r="Z20" s="232">
        <f t="shared" si="6"/>
        <v>0</v>
      </c>
    </row>
    <row r="21" spans="1:26" ht="25.5" x14ac:dyDescent="0.25">
      <c r="A21" s="543"/>
      <c r="B21" s="203" t="s">
        <v>44</v>
      </c>
      <c r="C21" s="176">
        <f>'ISS P15 PB BAN'!G33</f>
        <v>0</v>
      </c>
      <c r="D21" s="96">
        <f>'ISS P15 PB BAN'!H33</f>
        <v>0</v>
      </c>
      <c r="E21" s="242">
        <f>'ISS P15 PB PAR'!G33</f>
        <v>0</v>
      </c>
      <c r="F21" s="242">
        <f>'ISS P15 PB PAR'!H33</f>
        <v>0</v>
      </c>
      <c r="G21" s="242">
        <f>'IVR P15 PB BAN'!G33</f>
        <v>4.3575492307629136E-3</v>
      </c>
      <c r="H21" s="242">
        <f>'IVR P15 PB BAN'!H33</f>
        <v>4.814564612962203E-3</v>
      </c>
      <c r="I21" s="242">
        <f>'IVR P15 PB PAR'!G33</f>
        <v>2.9357162029167057E-3</v>
      </c>
      <c r="J21" s="242">
        <f>'IVR P15 PB PAR'!H33</f>
        <v>3.3605588778361723E-3</v>
      </c>
      <c r="K21" s="242">
        <f>'ROM P15 PB BAN'!G33</f>
        <v>0</v>
      </c>
      <c r="L21" s="242">
        <f>'ROM P15 PB BAN'!H33</f>
        <v>0</v>
      </c>
      <c r="M21" s="242">
        <f>'ROM P15 PB PAR'!G33</f>
        <v>0</v>
      </c>
      <c r="N21" s="242">
        <f>'ROM P15 PB PAR'!H33</f>
        <v>0</v>
      </c>
      <c r="O21" s="242">
        <f>'STO HP5 PB BAN'!G33</f>
        <v>0</v>
      </c>
      <c r="P21" s="242">
        <f>'STO HP5 PB BAN'!H33</f>
        <v>0</v>
      </c>
      <c r="Q21" s="242">
        <f>'STO P15 PB PAR '!G33</f>
        <v>7.0026289869968368E-4</v>
      </c>
      <c r="R21" s="242">
        <f>'STO P15 PB PAR '!H33</f>
        <v>8.4826238110601504E-4</v>
      </c>
      <c r="S21" s="60">
        <f t="shared" si="0"/>
        <v>9.9919104154741283E-4</v>
      </c>
      <c r="T21" s="60">
        <f t="shared" si="1"/>
        <v>1.1279232339880488E-3</v>
      </c>
      <c r="U21" s="60">
        <f t="shared" si="2"/>
        <v>9.0899477540409737E-4</v>
      </c>
      <c r="V21" s="60">
        <f t="shared" si="7"/>
        <v>1.0522053147355467E-3</v>
      </c>
      <c r="W21" s="60">
        <f t="shared" si="3"/>
        <v>1.0893873076907284E-3</v>
      </c>
      <c r="X21" s="60">
        <f t="shared" si="4"/>
        <v>1.2036411532405508E-3</v>
      </c>
      <c r="Y21" s="232">
        <f t="shared" si="5"/>
        <v>0</v>
      </c>
      <c r="Z21" s="232">
        <f t="shared" si="6"/>
        <v>0</v>
      </c>
    </row>
    <row r="22" spans="1:26" x14ac:dyDescent="0.25">
      <c r="A22" s="543"/>
      <c r="B22" s="203" t="s">
        <v>120</v>
      </c>
      <c r="C22" s="176">
        <f>'ISS P15 PB BAN'!G34</f>
        <v>0</v>
      </c>
      <c r="D22" s="96">
        <f>'ISS P15 PB BAN'!H34</f>
        <v>0</v>
      </c>
      <c r="E22" s="96">
        <f>'ISS P15 PB PAR'!G34</f>
        <v>7.4136979440938774E-4</v>
      </c>
      <c r="F22" s="96">
        <f>'ISS P15 PB PAR'!H34</f>
        <v>7.328767694551909E-4</v>
      </c>
      <c r="G22" s="96">
        <f>'IVR P15 PB BAN'!G34</f>
        <v>0</v>
      </c>
      <c r="H22" s="96">
        <f>'IVR P15 PB BAN'!H34</f>
        <v>0</v>
      </c>
      <c r="I22" s="96">
        <f>'IVR P15 PB PAR'!G34</f>
        <v>0</v>
      </c>
      <c r="J22" s="96">
        <f>'IVR P15 PB PAR'!H34</f>
        <v>0</v>
      </c>
      <c r="K22" s="96">
        <f>'ROM P15 PB BAN'!G34</f>
        <v>6.8203536789269818E-4</v>
      </c>
      <c r="L22" s="96">
        <f>'ROM P15 PB BAN'!H34</f>
        <v>7.121646661293388E-4</v>
      </c>
      <c r="M22" s="96">
        <f>'ROM P15 PB PAR'!G34</f>
        <v>0</v>
      </c>
      <c r="N22" s="96">
        <f>'ROM P15 PB PAR'!H34</f>
        <v>0</v>
      </c>
      <c r="O22" s="96">
        <f>'STO HP5 PB BAN'!G34</f>
        <v>0</v>
      </c>
      <c r="P22" s="96">
        <f>'STO HP5 PB BAN'!H34</f>
        <v>0</v>
      </c>
      <c r="Q22" s="96">
        <f>'STO P15 PB PAR '!G34</f>
        <v>2.3808938555789244E-3</v>
      </c>
      <c r="R22" s="96">
        <f>'STO P15 PB PAR '!H34</f>
        <v>2.8840920957604512E-3</v>
      </c>
      <c r="S22" s="60">
        <f t="shared" si="0"/>
        <v>4.7553737723512627E-4</v>
      </c>
      <c r="T22" s="60">
        <f t="shared" si="1"/>
        <v>5.411416914181226E-4</v>
      </c>
      <c r="U22" s="60">
        <f t="shared" si="2"/>
        <v>7.80565912497078E-4</v>
      </c>
      <c r="V22" s="60">
        <f t="shared" si="7"/>
        <v>9.0424221630391053E-4</v>
      </c>
      <c r="W22" s="60">
        <f t="shared" si="3"/>
        <v>1.7050884197317455E-4</v>
      </c>
      <c r="X22" s="60">
        <f t="shared" si="4"/>
        <v>1.780411665323347E-4</v>
      </c>
      <c r="Y22" s="232">
        <f t="shared" si="5"/>
        <v>0</v>
      </c>
      <c r="Z22" s="232">
        <f t="shared" si="6"/>
        <v>0</v>
      </c>
    </row>
    <row r="23" spans="1:26" x14ac:dyDescent="0.25">
      <c r="A23" s="204" t="s">
        <v>45</v>
      </c>
      <c r="B23" s="181" t="s">
        <v>46</v>
      </c>
      <c r="C23" s="174">
        <f>'ISS P15 PB BAN'!G35</f>
        <v>1.0392880279716429E-2</v>
      </c>
      <c r="D23" s="111">
        <f>'ISS P15 PB BAN'!H35</f>
        <v>9.4227435757513259E-3</v>
      </c>
      <c r="E23" s="111">
        <f>'ISS P15 PB PAR'!G35</f>
        <v>1.5065140660967992E-2</v>
      </c>
      <c r="F23" s="111">
        <f>'ISS P15 PB PAR'!H35</f>
        <v>1.1821936796643406E-2</v>
      </c>
      <c r="G23" s="111">
        <f>'IVR P15 PB BAN'!G35</f>
        <v>5.108442594378694E-2</v>
      </c>
      <c r="H23" s="111">
        <f>'IVR P15 PB BAN'!H35</f>
        <v>4.4804615907116166E-2</v>
      </c>
      <c r="I23" s="111">
        <f>'IVR P15 PB PAR'!G35</f>
        <v>1.7987445027907587E-2</v>
      </c>
      <c r="J23" s="111">
        <f>'IVR P15 PB PAR'!H35</f>
        <v>1.6345055311315148E-2</v>
      </c>
      <c r="K23" s="111">
        <f>'ROM P15 PB BAN'!G35</f>
        <v>4.3593341796383717E-2</v>
      </c>
      <c r="L23" s="111">
        <f>'ROM P15 PB BAN'!H35</f>
        <v>3.6133755959963536E-2</v>
      </c>
      <c r="M23" s="111">
        <f>'ROM P15 PB PAR'!G35</f>
        <v>3.1581373221013224E-2</v>
      </c>
      <c r="N23" s="111">
        <f>'ROM P15 PB PAR'!H35</f>
        <v>2.2334133994287488E-2</v>
      </c>
      <c r="O23" s="111">
        <f>'STO HP5 PB BAN'!G35</f>
        <v>3.6074615894314002E-2</v>
      </c>
      <c r="P23" s="111">
        <f>'STO HP5 PB BAN'!H35</f>
        <v>3.2306084287571459E-2</v>
      </c>
      <c r="Q23" s="111">
        <f>'STO P15 PB PAR '!G35</f>
        <v>4.2015773921980984E-3</v>
      </c>
      <c r="R23" s="111">
        <f>'STO P15 PB PAR '!H35</f>
        <v>4.0401819700657069E-3</v>
      </c>
      <c r="S23" s="62">
        <f t="shared" si="0"/>
        <v>2.6247600027035998E-2</v>
      </c>
      <c r="T23" s="62">
        <f t="shared" si="1"/>
        <v>2.2151063475339277E-2</v>
      </c>
      <c r="U23" s="62">
        <f t="shared" si="2"/>
        <v>1.7208884075521722E-2</v>
      </c>
      <c r="V23" s="62">
        <f>AVERAGE(F23,J23,N23,R23)</f>
        <v>1.3635327018077936E-2</v>
      </c>
      <c r="W23" s="62">
        <f>AVERAGE(C23,G23,K23,O23)</f>
        <v>3.5286315978550267E-2</v>
      </c>
      <c r="X23" s="62">
        <f t="shared" si="4"/>
        <v>3.0666799932600623E-2</v>
      </c>
      <c r="Y23" s="232">
        <f t="shared" si="5"/>
        <v>0</v>
      </c>
      <c r="Z23" s="232">
        <f t="shared" si="6"/>
        <v>0</v>
      </c>
    </row>
    <row r="24" spans="1:26" ht="25.5" x14ac:dyDescent="0.25">
      <c r="A24" s="543" t="s">
        <v>47</v>
      </c>
      <c r="B24" s="203" t="s">
        <v>48</v>
      </c>
      <c r="C24" s="176">
        <f>'ISS P15 PB BAN'!G36</f>
        <v>0.15275257154613361</v>
      </c>
      <c r="D24" s="96">
        <f>'ISS P15 PB BAN'!H36</f>
        <v>0.14303675502689969</v>
      </c>
      <c r="E24" s="96">
        <f>'ISS P15 PB PAR'!G36</f>
        <v>0</v>
      </c>
      <c r="F24" s="96">
        <f>'ISS P15 PB PAR'!H36</f>
        <v>0</v>
      </c>
      <c r="G24" s="96">
        <f>'IVR P15 PB BAN'!G36</f>
        <v>4.4510984901440037E-2</v>
      </c>
      <c r="H24" s="96">
        <f>'IVR P15 PB BAN'!H36</f>
        <v>4.0660257058727493E-2</v>
      </c>
      <c r="I24" s="96">
        <f>'IVR P15 PB PAR'!G36</f>
        <v>2.3964262117948262E-2</v>
      </c>
      <c r="J24" s="96">
        <f>'IVR P15 PB PAR'!H36</f>
        <v>2.2697914385538077E-2</v>
      </c>
      <c r="K24" s="96">
        <f>'ROM P15 PB BAN'!G36</f>
        <v>2.958341228448259E-2</v>
      </c>
      <c r="L24" s="96">
        <f>'ROM P15 PB BAN'!H36</f>
        <v>2.5486464105265384E-2</v>
      </c>
      <c r="M24" s="96">
        <f>'ROM P15 PB PAR'!G36</f>
        <v>3.9163672222337617E-2</v>
      </c>
      <c r="N24" s="96">
        <f>'ROM P15 PB PAR'!H36</f>
        <v>2.8502847336400693E-2</v>
      </c>
      <c r="O24" s="96">
        <f>'STO HP5 PB BAN'!G36</f>
        <v>7.4302153772429574E-2</v>
      </c>
      <c r="P24" s="96">
        <f>'STO HP5 PB BAN'!H36</f>
        <v>6.8717877034650363E-2</v>
      </c>
      <c r="Q24" s="96">
        <f>'STO P15 PB PAR '!G36</f>
        <v>6.7979807276217453E-3</v>
      </c>
      <c r="R24" s="96">
        <f>'STO P15 PB PAR '!H36</f>
        <v>6.8365700118872283E-3</v>
      </c>
      <c r="S24" s="60">
        <f t="shared" si="0"/>
        <v>4.6384379696549183E-2</v>
      </c>
      <c r="T24" s="60">
        <f t="shared" si="1"/>
        <v>4.1992335619921127E-2</v>
      </c>
      <c r="U24" s="60">
        <f t="shared" si="2"/>
        <v>1.7481478766976907E-2</v>
      </c>
      <c r="V24" s="60">
        <f t="shared" si="7"/>
        <v>1.4509332933456499E-2</v>
      </c>
      <c r="W24" s="60">
        <f t="shared" si="3"/>
        <v>7.5287280626121444E-2</v>
      </c>
      <c r="X24" s="60">
        <f t="shared" si="4"/>
        <v>6.9475338306385734E-2</v>
      </c>
      <c r="Y24" s="232">
        <f t="shared" si="5"/>
        <v>0</v>
      </c>
      <c r="Z24" s="232">
        <f t="shared" si="6"/>
        <v>0</v>
      </c>
    </row>
    <row r="25" spans="1:26" ht="25.5" x14ac:dyDescent="0.25">
      <c r="A25" s="543"/>
      <c r="B25" s="203" t="s">
        <v>49</v>
      </c>
      <c r="C25" s="176">
        <f>'ISS P15 PB BAN'!G37</f>
        <v>9.5859745635301669E-2</v>
      </c>
      <c r="D25" s="96">
        <f>'ISS P15 PB BAN'!H37</f>
        <v>8.8888937543366589E-2</v>
      </c>
      <c r="E25" s="96">
        <f>'ISS P15 PB PAR'!G37</f>
        <v>0.19314207149318249</v>
      </c>
      <c r="F25" s="96">
        <f>'ISS P15 PB PAR'!H37</f>
        <v>0.15571698226306066</v>
      </c>
      <c r="G25" s="96">
        <f>'IVR P15 PB BAN'!G37</f>
        <v>8.9588259134593576E-2</v>
      </c>
      <c r="H25" s="96">
        <f>'IVR P15 PB BAN'!H37</f>
        <v>8.0470877008093952E-2</v>
      </c>
      <c r="I25" s="96">
        <f>'IVR P15 PB PAR'!G37</f>
        <v>8.8285481517677067E-2</v>
      </c>
      <c r="J25" s="96">
        <f>'IVR P15 PB PAR'!H37</f>
        <v>8.227081891927282E-2</v>
      </c>
      <c r="K25" s="96">
        <f>'ROM P15 PB BAN'!G37</f>
        <v>6.4775411650651205E-2</v>
      </c>
      <c r="L25" s="96">
        <f>'ROM P15 PB BAN'!H37</f>
        <v>5.4926973175840513E-2</v>
      </c>
      <c r="M25" s="96">
        <f>'ROM P15 PB PAR'!G37</f>
        <v>1.40934227067403E-2</v>
      </c>
      <c r="N25" s="96">
        <f>'ROM P15 PB PAR'!H37</f>
        <v>1.0134017802757821E-2</v>
      </c>
      <c r="O25" s="96">
        <f>'STO HP5 PB BAN'!G37</f>
        <v>6.6020475776346038E-2</v>
      </c>
      <c r="P25" s="96">
        <f>'STO HP5 PB BAN'!H37</f>
        <v>6.0397787134810456E-2</v>
      </c>
      <c r="Q25" s="96">
        <f>'STO P15 PB PAR '!G37</f>
        <v>5.904559597517467E-2</v>
      </c>
      <c r="R25" s="96">
        <f>'STO P15 PB PAR '!H37</f>
        <v>5.8312459742844151E-2</v>
      </c>
      <c r="S25" s="60">
        <f t="shared" si="0"/>
        <v>8.3851307986208379E-2</v>
      </c>
      <c r="T25" s="60">
        <f t="shared" si="1"/>
        <v>7.3889856698755876E-2</v>
      </c>
      <c r="U25" s="60">
        <f t="shared" si="2"/>
        <v>8.8641642923193625E-2</v>
      </c>
      <c r="V25" s="60">
        <f t="shared" si="7"/>
        <v>7.660856968198386E-2</v>
      </c>
      <c r="W25" s="60">
        <f t="shared" si="3"/>
        <v>7.9060973049223132E-2</v>
      </c>
      <c r="X25" s="60">
        <f t="shared" si="4"/>
        <v>7.1171143715527879E-2</v>
      </c>
      <c r="Y25" s="232">
        <f t="shared" si="5"/>
        <v>0</v>
      </c>
      <c r="Z25" s="232">
        <f t="shared" si="6"/>
        <v>0</v>
      </c>
    </row>
    <row r="26" spans="1:26" x14ac:dyDescent="0.25">
      <c r="A26" s="544" t="s">
        <v>50</v>
      </c>
      <c r="B26" s="181" t="s">
        <v>51</v>
      </c>
      <c r="C26" s="174">
        <f>'ISS P15 PB BAN'!G38</f>
        <v>0.10892257207195481</v>
      </c>
      <c r="D26" s="111">
        <f>'ISS P15 PB BAN'!H38</f>
        <v>0.11317161279530813</v>
      </c>
      <c r="E26" s="111">
        <f>'ISS P15 PB PAR'!G38</f>
        <v>0.10292472962979808</v>
      </c>
      <c r="F26" s="111">
        <f>'ISS P15 PB PAR'!H38</f>
        <v>9.1997442888175851E-2</v>
      </c>
      <c r="G26" s="111">
        <f>'IVR P15 PB BAN'!G38</f>
        <v>7.6610877311988956E-2</v>
      </c>
      <c r="H26" s="111">
        <f>'IVR P15 PB BAN'!H38</f>
        <v>7.8451195715781269E-2</v>
      </c>
      <c r="I26" s="111">
        <f>'IVR P15 PB PAR'!G38</f>
        <v>9.3111669912801662E-2</v>
      </c>
      <c r="J26" s="111">
        <f>'IVR P15 PB PAR'!H38</f>
        <v>9.758572330060479E-2</v>
      </c>
      <c r="K26" s="111">
        <f>'ROM P15 PB BAN'!G38</f>
        <v>6.3155962258316531E-2</v>
      </c>
      <c r="L26" s="111">
        <f>'ROM P15 PB BAN'!H38</f>
        <v>6.094010556359928E-2</v>
      </c>
      <c r="M26" s="111">
        <f>'ROM P15 PB PAR'!G38</f>
        <v>5.8061063915437479E-2</v>
      </c>
      <c r="N26" s="111">
        <f>'ROM P15 PB PAR'!H38</f>
        <v>4.7428639178968543E-2</v>
      </c>
      <c r="O26" s="111">
        <f>'STO HP5 PB BAN'!G38</f>
        <v>7.5997498949884335E-2</v>
      </c>
      <c r="P26" s="111">
        <f>'STO HP5 PB BAN'!H38</f>
        <v>7.8156499545073269E-2</v>
      </c>
      <c r="Q26" s="111">
        <f>'STO P15 PB PAR '!G38</f>
        <v>7.2062482886432216E-2</v>
      </c>
      <c r="R26" s="111">
        <f>'STO P15 PB PAR '!H38</f>
        <v>7.9290319761784744E-2</v>
      </c>
      <c r="S26" s="62">
        <f t="shared" si="0"/>
        <v>8.1355857117076769E-2</v>
      </c>
      <c r="T26" s="62">
        <f t="shared" si="1"/>
        <v>8.0877692343661989E-2</v>
      </c>
      <c r="U26" s="62">
        <f t="shared" si="2"/>
        <v>8.1539986586117358E-2</v>
      </c>
      <c r="V26" s="62">
        <f t="shared" si="7"/>
        <v>7.9075531282383482E-2</v>
      </c>
      <c r="W26" s="62">
        <f t="shared" si="3"/>
        <v>8.1171727648036165E-2</v>
      </c>
      <c r="X26" s="62">
        <f t="shared" si="4"/>
        <v>8.2679853404940482E-2</v>
      </c>
      <c r="Y26" s="232">
        <f t="shared" si="5"/>
        <v>0</v>
      </c>
      <c r="Z26" s="232">
        <f t="shared" si="6"/>
        <v>0</v>
      </c>
    </row>
    <row r="27" spans="1:26" x14ac:dyDescent="0.25">
      <c r="A27" s="544"/>
      <c r="B27" s="181" t="s">
        <v>52</v>
      </c>
      <c r="C27" s="174">
        <f>'ISS P15 PB BAN'!G39</f>
        <v>1.7523627491971026E-2</v>
      </c>
      <c r="D27" s="111">
        <f>'ISS P15 PB BAN'!H39</f>
        <v>1.6278531244391044E-2</v>
      </c>
      <c r="E27" s="111">
        <f>'ISS P15 PB PAR'!G39</f>
        <v>1.4760339670224087E-2</v>
      </c>
      <c r="F27" s="111">
        <f>'ISS P15 PB PAR'!H39</f>
        <v>1.1786944306009803E-2</v>
      </c>
      <c r="G27" s="111">
        <f>'IVR P15 PB BAN'!G39</f>
        <v>3.6821387034089464E-2</v>
      </c>
      <c r="H27" s="111">
        <f>'IVR P15 PB BAN'!H39</f>
        <v>3.369332122382971E-2</v>
      </c>
      <c r="I27" s="111">
        <f>'IVR P15 PB PAR'!G39</f>
        <v>3.430809147906759E-2</v>
      </c>
      <c r="J27" s="111">
        <f>'IVR P15 PB PAR'!H39</f>
        <v>3.2131625079982705E-2</v>
      </c>
      <c r="K27" s="111">
        <f>'ROM P15 PB BAN'!G39</f>
        <v>2.63824613323125E-2</v>
      </c>
      <c r="L27" s="111">
        <f>'ROM P15 PB BAN'!H39</f>
        <v>2.2749510306038213E-2</v>
      </c>
      <c r="M27" s="111">
        <f>'ROM P15 PB PAR'!G39</f>
        <v>1.5391592213554574E-2</v>
      </c>
      <c r="N27" s="111">
        <f>'ROM P15 PB PAR'!H39</f>
        <v>1.1239175657417683E-2</v>
      </c>
      <c r="O27" s="111">
        <f>'STO HP5 PB BAN'!G39</f>
        <v>1.4230176478592434E-2</v>
      </c>
      <c r="P27" s="111">
        <f>'STO HP5 PB BAN'!H39</f>
        <v>1.3083107110671099E-2</v>
      </c>
      <c r="Q27" s="111">
        <f>'STO P15 PB PAR '!G39</f>
        <v>1.3001452545327022E-2</v>
      </c>
      <c r="R27" s="111">
        <f>'STO P15 PB PAR '!H39</f>
        <v>1.2781831332434372E-2</v>
      </c>
      <c r="S27" s="62">
        <f t="shared" si="0"/>
        <v>2.1552391030642336E-2</v>
      </c>
      <c r="T27" s="62">
        <f t="shared" si="1"/>
        <v>1.9218005782596827E-2</v>
      </c>
      <c r="U27" s="62">
        <f t="shared" si="2"/>
        <v>1.9365368977043319E-2</v>
      </c>
      <c r="V27" s="62">
        <f t="shared" si="7"/>
        <v>1.6984894093961138E-2</v>
      </c>
      <c r="W27" s="62">
        <f t="shared" si="3"/>
        <v>2.3739413084241358E-2</v>
      </c>
      <c r="X27" s="62">
        <f t="shared" si="4"/>
        <v>2.1451117471232514E-2</v>
      </c>
      <c r="Y27" s="232">
        <f t="shared" si="5"/>
        <v>0</v>
      </c>
      <c r="Z27" s="232">
        <f t="shared" si="6"/>
        <v>0</v>
      </c>
    </row>
    <row r="28" spans="1:26" ht="25.5" x14ac:dyDescent="0.25">
      <c r="A28" s="544"/>
      <c r="B28" s="181" t="s">
        <v>53</v>
      </c>
      <c r="C28" s="174">
        <f>'ISS P15 PB BAN'!G40</f>
        <v>1.2814720541381363E-2</v>
      </c>
      <c r="D28" s="111">
        <f>'ISS P15 PB BAN'!H40</f>
        <v>1.190279066741139E-2</v>
      </c>
      <c r="E28" s="111">
        <f>'ISS P15 PB PAR'!G40</f>
        <v>2.7976041704278346E-3</v>
      </c>
      <c r="F28" s="111">
        <f>'ISS P15 PB PAR'!H40</f>
        <v>2.2335113529557658E-3</v>
      </c>
      <c r="G28" s="111">
        <f>'IVR P15 PB BAN'!G40</f>
        <v>2.2486082431914856E-2</v>
      </c>
      <c r="H28" s="111">
        <f>'IVR P15 PB BAN'!H40</f>
        <v>2.0571603979561866E-2</v>
      </c>
      <c r="I28" s="111">
        <f>'IVR P15 PB PAR'!G40</f>
        <v>1.0315870159186795E-2</v>
      </c>
      <c r="J28" s="111">
        <f>'IVR P15 PB PAR'!H40</f>
        <v>9.6595250202684783E-3</v>
      </c>
      <c r="K28" s="111">
        <f>'ROM P15 PB BAN'!G40</f>
        <v>1.3199179198639216E-2</v>
      </c>
      <c r="L28" s="111">
        <f>'ROM P15 PB BAN'!H40</f>
        <v>1.1379407808630891E-2</v>
      </c>
      <c r="M28" s="111">
        <f>'ROM P15 PB PAR'!G40</f>
        <v>1.1420924415378633E-2</v>
      </c>
      <c r="N28" s="111">
        <f>'ROM P15 PB PAR'!H40</f>
        <v>8.3385100140055991E-3</v>
      </c>
      <c r="O28" s="111">
        <f>'STO HP5 PB BAN'!G40</f>
        <v>1.4871708405066594E-2</v>
      </c>
      <c r="P28" s="111">
        <f>'STO HP5 PB BAN'!H40</f>
        <v>1.3671119032477801E-2</v>
      </c>
      <c r="Q28" s="111">
        <f>'STO P15 PB PAR '!G40</f>
        <v>4.2358759831548215E-3</v>
      </c>
      <c r="R28" s="111">
        <f>'STO P15 PB PAR '!H40</f>
        <v>4.1633992734765894E-3</v>
      </c>
      <c r="S28" s="62">
        <f t="shared" si="0"/>
        <v>1.1517745663143763E-2</v>
      </c>
      <c r="T28" s="62">
        <f t="shared" si="1"/>
        <v>1.0239983393598547E-2</v>
      </c>
      <c r="U28" s="62">
        <f t="shared" si="2"/>
        <v>7.1925686820370214E-3</v>
      </c>
      <c r="V28" s="62">
        <f t="shared" si="7"/>
        <v>6.0987364151766079E-3</v>
      </c>
      <c r="W28" s="62">
        <f t="shared" si="3"/>
        <v>1.5842922644250506E-2</v>
      </c>
      <c r="X28" s="62">
        <f t="shared" si="4"/>
        <v>1.4381230372020487E-2</v>
      </c>
      <c r="Y28" s="232">
        <f t="shared" si="5"/>
        <v>0</v>
      </c>
      <c r="Z28" s="232">
        <f t="shared" si="6"/>
        <v>0</v>
      </c>
    </row>
    <row r="29" spans="1:26" x14ac:dyDescent="0.25">
      <c r="A29" s="544"/>
      <c r="B29" s="181" t="s">
        <v>54</v>
      </c>
      <c r="C29" s="174">
        <f>'ISS P15 PB BAN'!G41</f>
        <v>4.2985622620723175E-2</v>
      </c>
      <c r="D29" s="111">
        <f>'ISS P15 PB BAN'!H41</f>
        <v>4.4645707344901669E-2</v>
      </c>
      <c r="E29" s="111">
        <f>'ISS P15 PB PAR'!G41</f>
        <v>5.916281015259274E-2</v>
      </c>
      <c r="F29" s="111">
        <f>'ISS P15 PB PAR'!H41</f>
        <v>5.2841984597937867E-2</v>
      </c>
      <c r="G29" s="111">
        <f>'IVR P15 PB BAN'!G41</f>
        <v>4.2616999536611237E-2</v>
      </c>
      <c r="H29" s="111">
        <f>'IVR P15 PB BAN'!H41</f>
        <v>4.3612347421048456E-2</v>
      </c>
      <c r="I29" s="111">
        <f>'IVR P15 PB PAR'!G41</f>
        <v>5.170946862031231E-2</v>
      </c>
      <c r="J29" s="111">
        <f>'IVR P15 PB PAR'!H41</f>
        <v>5.4160103454709903E-2</v>
      </c>
      <c r="K29" s="111">
        <f>'ROM P15 PB BAN'!G41</f>
        <v>3.1782335335252446E-2</v>
      </c>
      <c r="L29" s="111">
        <f>'ROM P15 PB BAN'!H41</f>
        <v>3.0648477886768548E-2</v>
      </c>
      <c r="M29" s="111">
        <f>'ROM P15 PB PAR'!G41</f>
        <v>2.2828990770880256E-2</v>
      </c>
      <c r="N29" s="111">
        <f>'ROM P15 PB PAR'!H41</f>
        <v>1.8639780384780837E-2</v>
      </c>
      <c r="O29" s="111">
        <f>'STO HP5 PB BAN'!G41</f>
        <v>3.5777422069585695E-2</v>
      </c>
      <c r="P29" s="111">
        <f>'STO HP5 PB BAN'!H41</f>
        <v>3.6778429963753904E-2</v>
      </c>
      <c r="Q29" s="111">
        <f>'STO P15 PB PAR '!G41</f>
        <v>1.7203029937525118E-2</v>
      </c>
      <c r="R29" s="111">
        <f>'STO P15 PB PAR '!H41</f>
        <v>1.8915204833697137E-2</v>
      </c>
      <c r="S29" s="62">
        <f t="shared" si="0"/>
        <v>3.8008334880435368E-2</v>
      </c>
      <c r="T29" s="62">
        <f t="shared" si="1"/>
        <v>3.7530254485949786E-2</v>
      </c>
      <c r="U29" s="62">
        <f>AVERAGE(E29,I29,M29,Q29)</f>
        <v>3.7726074870327607E-2</v>
      </c>
      <c r="V29" s="62">
        <f t="shared" si="7"/>
        <v>3.6139268317781435E-2</v>
      </c>
      <c r="W29" s="62">
        <f t="shared" si="3"/>
        <v>3.8290594890543136E-2</v>
      </c>
      <c r="X29" s="62">
        <f t="shared" si="4"/>
        <v>3.8921240654118144E-2</v>
      </c>
      <c r="Y29" s="232">
        <f t="shared" si="5"/>
        <v>0</v>
      </c>
      <c r="Z29" s="232">
        <f t="shared" si="6"/>
        <v>0</v>
      </c>
    </row>
    <row r="30" spans="1:26" x14ac:dyDescent="0.25">
      <c r="A30" s="544"/>
      <c r="B30" s="181" t="s">
        <v>55</v>
      </c>
      <c r="C30" s="174">
        <f>'ISS P15 PB BAN'!G42</f>
        <v>2.731104770627122E-2</v>
      </c>
      <c r="D30" s="111">
        <f>'ISS P15 PB BAN'!H42</f>
        <v>2.8367952002155705E-2</v>
      </c>
      <c r="E30" s="111">
        <f>'ISS P15 PB PAR'!G42</f>
        <v>2.3078124245324485E-2</v>
      </c>
      <c r="F30" s="111">
        <f>'ISS P15 PB PAR'!H42</f>
        <v>2.0615648472473894E-2</v>
      </c>
      <c r="G30" s="111">
        <f>'IVR P15 PB BAN'!G42</f>
        <v>1.0381122779819667E-2</v>
      </c>
      <c r="H30" s="111">
        <f>'IVR P15 PB BAN'!H42</f>
        <v>1.0624984816422815E-2</v>
      </c>
      <c r="I30" s="111">
        <f>'IVR P15 PB PAR'!G42</f>
        <v>3.1104612149950788E-2</v>
      </c>
      <c r="J30" s="111">
        <f>'IVR P15 PB PAR'!H42</f>
        <v>3.2582890657211802E-2</v>
      </c>
      <c r="K30" s="111">
        <f>'ROM P15 PB BAN'!G42</f>
        <v>2.792242539981761E-3</v>
      </c>
      <c r="L30" s="111">
        <f>'ROM P15 PB BAN'!H42</f>
        <v>2.6929620204035444E-3</v>
      </c>
      <c r="M30" s="111">
        <f>'ROM P15 PB PAR'!G42</f>
        <v>1.4887655174528386E-2</v>
      </c>
      <c r="N30" s="111">
        <f>'ROM P15 PB PAR'!H42</f>
        <v>1.2156857630519928E-2</v>
      </c>
      <c r="O30" s="111">
        <f>'STO HP5 PB BAN'!G42</f>
        <v>3.6385213484076688E-2</v>
      </c>
      <c r="P30" s="111">
        <f>'STO HP5 PB BAN'!H42</f>
        <v>3.7406404769809366E-2</v>
      </c>
      <c r="Q30" s="111">
        <f>'STO P15 PB PAR '!G42</f>
        <v>2.6932396905581125E-2</v>
      </c>
      <c r="R30" s="111">
        <f>'STO P15 PB PAR '!H42</f>
        <v>2.9617134634186932E-2</v>
      </c>
      <c r="S30" s="62">
        <f t="shared" si="0"/>
        <v>2.1609051873191766E-2</v>
      </c>
      <c r="T30" s="62">
        <f t="shared" si="1"/>
        <v>2.1758104375397998E-2</v>
      </c>
      <c r="U30" s="62">
        <f t="shared" si="2"/>
        <v>2.4000697118846195E-2</v>
      </c>
      <c r="V30" s="62">
        <f t="shared" si="7"/>
        <v>2.374313284859814E-2</v>
      </c>
      <c r="W30" s="62">
        <f t="shared" si="3"/>
        <v>1.9217406627537334E-2</v>
      </c>
      <c r="X30" s="62">
        <f t="shared" si="4"/>
        <v>1.9773075902197859E-2</v>
      </c>
      <c r="Y30" s="232">
        <f t="shared" si="5"/>
        <v>0</v>
      </c>
      <c r="Z30" s="232">
        <f t="shared" si="6"/>
        <v>0</v>
      </c>
    </row>
    <row r="31" spans="1:26" x14ac:dyDescent="0.25">
      <c r="A31" s="205" t="s">
        <v>127</v>
      </c>
      <c r="B31" s="203" t="s">
        <v>56</v>
      </c>
      <c r="C31" s="176">
        <f>'ISS P15 PB BAN'!G43</f>
        <v>1.067876361583202E-2</v>
      </c>
      <c r="D31" s="96">
        <f>'ISS P15 PB BAN'!H43</f>
        <v>9.8874500529037655E-3</v>
      </c>
      <c r="E31" s="96">
        <f>'ISS P15 PB PAR'!G43</f>
        <v>1.8872808422260981E-2</v>
      </c>
      <c r="F31" s="96">
        <f>'ISS P15 PB PAR'!H43</f>
        <v>1.5123755257389642E-2</v>
      </c>
      <c r="G31" s="96">
        <f>'IVR P15 PB BAN'!G43</f>
        <v>7.7594987190605869E-2</v>
      </c>
      <c r="H31" s="96">
        <f>'IVR P15 PB BAN'!H43</f>
        <v>6.9502255549022063E-2</v>
      </c>
      <c r="I31" s="96">
        <f>'IVR P15 PB PAR'!G43</f>
        <v>2.8145238160783476E-2</v>
      </c>
      <c r="J31" s="96">
        <f>'IVR P15 PB PAR'!H43</f>
        <v>2.6118326220965039E-2</v>
      </c>
      <c r="K31" s="96">
        <f>'ROM P15 PB BAN'!G43</f>
        <v>4.046418404083392E-2</v>
      </c>
      <c r="L31" s="96">
        <f>'ROM P15 PB BAN'!H43</f>
        <v>3.4251394541989007E-2</v>
      </c>
      <c r="M31" s="96">
        <f>'ROM P15 PB PAR'!G43</f>
        <v>3.9403029952355936E-2</v>
      </c>
      <c r="N31" s="96">
        <f>'ROM P15 PB PAR'!H43</f>
        <v>2.8455147455779383E-2</v>
      </c>
      <c r="O31" s="96">
        <f>'STO HP5 PB BAN'!G43</f>
        <v>2.5325720734311868E-2</v>
      </c>
      <c r="P31" s="96">
        <f>'STO HP5 PB BAN'!H43</f>
        <v>2.3160751130252785E-2</v>
      </c>
      <c r="Q31" s="96">
        <f>'STO P15 PB PAR '!G43</f>
        <v>8.4511728117356074E-3</v>
      </c>
      <c r="R31" s="96">
        <f>'STO P15 PB PAR '!H43</f>
        <v>8.2990406694630446E-3</v>
      </c>
      <c r="S31" s="60">
        <f t="shared" si="0"/>
        <v>3.1116988116089962E-2</v>
      </c>
      <c r="T31" s="60">
        <f t="shared" si="1"/>
        <v>2.6849765109720591E-2</v>
      </c>
      <c r="U31" s="60">
        <f t="shared" si="2"/>
        <v>2.3718062336783998E-2</v>
      </c>
      <c r="V31" s="60">
        <f t="shared" si="7"/>
        <v>1.9499067400899277E-2</v>
      </c>
      <c r="W31" s="60">
        <f t="shared" si="3"/>
        <v>3.8515913895395916E-2</v>
      </c>
      <c r="X31" s="60">
        <f t="shared" si="4"/>
        <v>3.4200462818541909E-2</v>
      </c>
      <c r="Y31" s="232">
        <f t="shared" si="5"/>
        <v>0</v>
      </c>
      <c r="Z31" s="232">
        <f t="shared" si="6"/>
        <v>0</v>
      </c>
    </row>
    <row r="32" spans="1:26" ht="25.5" x14ac:dyDescent="0.25">
      <c r="A32" s="544" t="s">
        <v>57</v>
      </c>
      <c r="B32" s="181" t="s">
        <v>58</v>
      </c>
      <c r="C32" s="174">
        <f>'ISS P15 PB BAN'!G44</f>
        <v>9.7944651965116092E-2</v>
      </c>
      <c r="D32" s="111">
        <f>'ISS P15 PB BAN'!H44</f>
        <v>8.8690888912981047E-2</v>
      </c>
      <c r="E32" s="111">
        <f>'ISS P15 PB PAR'!G44</f>
        <v>2.3920312828979919E-2</v>
      </c>
      <c r="F32" s="111">
        <f>'ISS P15 PB PAR'!H44</f>
        <v>1.8751839347357704E-2</v>
      </c>
      <c r="G32" s="111">
        <f>'IVR P15 PB BAN'!G44</f>
        <v>6.3319463842340926E-2</v>
      </c>
      <c r="H32" s="111">
        <f>'IVR P15 PB BAN'!H44</f>
        <v>5.5457610258306762E-2</v>
      </c>
      <c r="I32" s="111">
        <f>'IVR P15 PB PAR'!G44</f>
        <v>4.6923068320245551E-2</v>
      </c>
      <c r="J32" s="111">
        <f>'IVR P15 PB PAR'!H44</f>
        <v>4.2584173899716707E-2</v>
      </c>
      <c r="K32" s="111">
        <f>'ROM P15 PB BAN'!G44</f>
        <v>6.1085241344368629E-2</v>
      </c>
      <c r="L32" s="111">
        <f>'ROM P15 PB BAN'!H44</f>
        <v>5.0575509955857002E-2</v>
      </c>
      <c r="M32" s="111">
        <f>'ROM P15 PB PAR'!G44</f>
        <v>3.5005573474415928E-2</v>
      </c>
      <c r="N32" s="111">
        <f>'ROM P15 PB PAR'!H44</f>
        <v>2.4736832568784495E-2</v>
      </c>
      <c r="O32" s="111">
        <f>'STO HP5 PB BAN'!G44</f>
        <v>4.4368773257843316E-2</v>
      </c>
      <c r="P32" s="111">
        <f>'STO HP5 PB BAN'!H44</f>
        <v>3.9693329472415835E-2</v>
      </c>
      <c r="Q32" s="111">
        <f>'STO P15 PB PAR '!G44</f>
        <v>0.12366642791036403</v>
      </c>
      <c r="R32" s="111">
        <f>'STO P15 PB PAR '!H44</f>
        <v>0.11876644017007089</v>
      </c>
      <c r="S32" s="62">
        <f t="shared" si="0"/>
        <v>6.2029189117959294E-2</v>
      </c>
      <c r="T32" s="62">
        <f t="shared" si="1"/>
        <v>5.4907078073186309E-2</v>
      </c>
      <c r="U32" s="62">
        <f t="shared" si="2"/>
        <v>5.737884563350136E-2</v>
      </c>
      <c r="V32" s="62">
        <f t="shared" si="7"/>
        <v>5.1209821496482448E-2</v>
      </c>
      <c r="W32" s="62">
        <f t="shared" si="3"/>
        <v>6.6679532602417241E-2</v>
      </c>
      <c r="X32" s="62">
        <f t="shared" si="4"/>
        <v>5.8604334649890157E-2</v>
      </c>
      <c r="Y32" s="232">
        <f t="shared" si="5"/>
        <v>0</v>
      </c>
      <c r="Z32" s="232">
        <f t="shared" si="6"/>
        <v>0</v>
      </c>
    </row>
    <row r="33" spans="1:26" x14ac:dyDescent="0.25">
      <c r="A33" s="544"/>
      <c r="B33" s="181" t="s">
        <v>59</v>
      </c>
      <c r="C33" s="174">
        <f>'ISS P15 PB BAN'!G45</f>
        <v>1.5514276043844304E-2</v>
      </c>
      <c r="D33" s="111">
        <f>'ISS P15 PB BAN'!H45</f>
        <v>1.4048494793365384E-2</v>
      </c>
      <c r="E33" s="111">
        <f>'ISS P15 PB PAR'!G45</f>
        <v>2.2241093832281629E-3</v>
      </c>
      <c r="F33" s="111">
        <f>'ISS P15 PB PAR'!H45</f>
        <v>1.7435450005786524E-3</v>
      </c>
      <c r="G33" s="111">
        <f>'IVR P15 PB BAN'!G45</f>
        <v>5.2457450092316454E-3</v>
      </c>
      <c r="H33" s="111">
        <f>'IVR P15 PB BAN'!H45</f>
        <v>4.5944242825678222E-3</v>
      </c>
      <c r="I33" s="111">
        <f>'IVR P15 PB PAR'!G45</f>
        <v>3.9937569252792474E-2</v>
      </c>
      <c r="J33" s="111">
        <f>'IVR P15 PB PAR'!H45</f>
        <v>3.6244611767195581E-2</v>
      </c>
      <c r="K33" s="111">
        <f>'ROM P15 PB BAN'!G45</f>
        <v>1.0238222646599791E-2</v>
      </c>
      <c r="L33" s="111">
        <f>'ROM P15 PB BAN'!H45</f>
        <v>8.476733823056656E-3</v>
      </c>
      <c r="M33" s="111">
        <f>'ROM P15 PB PAR'!G45</f>
        <v>5.8828591181942523E-2</v>
      </c>
      <c r="N33" s="111">
        <f>'ROM P15 PB PAR'!H45</f>
        <v>4.1571466080644319E-2</v>
      </c>
      <c r="O33" s="111">
        <f>'STO HP5 PB BAN'!G45</f>
        <v>2.7180524495796578E-2</v>
      </c>
      <c r="P33" s="111">
        <f>'STO HP5 PB BAN'!H45</f>
        <v>2.4316325082393443E-2</v>
      </c>
      <c r="Q33" s="111">
        <f>'STO P15 PB PAR '!G45</f>
        <v>1.760661002444918E-2</v>
      </c>
      <c r="R33" s="111">
        <f>'STO P15 PB PAR '!H45</f>
        <v>1.6908990025831162E-2</v>
      </c>
      <c r="S33" s="62">
        <f t="shared" si="0"/>
        <v>2.2096956004735584E-2</v>
      </c>
      <c r="T33" s="62">
        <f t="shared" si="1"/>
        <v>1.8488073856954126E-2</v>
      </c>
      <c r="U33" s="62">
        <f t="shared" si="2"/>
        <v>2.9649219960603088E-2</v>
      </c>
      <c r="V33" s="62">
        <f t="shared" si="7"/>
        <v>2.4117153218562427E-2</v>
      </c>
      <c r="W33" s="62">
        <f t="shared" si="3"/>
        <v>1.4544692048868081E-2</v>
      </c>
      <c r="X33" s="62">
        <f t="shared" si="4"/>
        <v>1.2858994495345825E-2</v>
      </c>
      <c r="Y33" s="232">
        <f t="shared" si="5"/>
        <v>0</v>
      </c>
      <c r="Z33" s="232">
        <f t="shared" si="6"/>
        <v>0</v>
      </c>
    </row>
    <row r="34" spans="1:26" ht="25.5" x14ac:dyDescent="0.25">
      <c r="A34" s="543" t="s">
        <v>60</v>
      </c>
      <c r="B34" s="203" t="s">
        <v>61</v>
      </c>
      <c r="C34" s="176">
        <f>'ISS P15 PB BAN'!G46</f>
        <v>3.6038657553114327E-2</v>
      </c>
      <c r="D34" s="96">
        <f>'ISS P15 PB BAN'!H46</f>
        <v>3.3697309341242439E-2</v>
      </c>
      <c r="E34" s="96">
        <f>'ISS P15 PB PAR'!G46</f>
        <v>1.2425095156524693E-2</v>
      </c>
      <c r="F34" s="96">
        <f>'ISS P15 PB PAR'!H46</f>
        <v>1.005657769690986E-2</v>
      </c>
      <c r="G34" s="96">
        <f>'IVR P15 PB BAN'!G46</f>
        <v>4.2897515267808134E-2</v>
      </c>
      <c r="H34" s="96">
        <f>'IVR P15 PB BAN'!H46</f>
        <v>3.8798914768100802E-2</v>
      </c>
      <c r="I34" s="96">
        <f>'IVR P15 PB PAR'!G46</f>
        <v>1.9310130350100829E-2</v>
      </c>
      <c r="J34" s="96">
        <f>'IVR P15 PB PAR'!H46</f>
        <v>1.8095959459901952E-2</v>
      </c>
      <c r="K34" s="96">
        <f>'ROM P15 PB BAN'!G46</f>
        <v>4.1314420612236988E-2</v>
      </c>
      <c r="L34" s="96">
        <f>'ROM P15 PB BAN'!H46</f>
        <v>3.5318771597588713E-2</v>
      </c>
      <c r="M34" s="96">
        <f>'ROM P15 PB PAR'!G46</f>
        <v>2.888315880989754E-2</v>
      </c>
      <c r="N34" s="96">
        <f>'ROM P15 PB PAR'!H46</f>
        <v>2.1070211717625249E-2</v>
      </c>
      <c r="O34" s="96">
        <f>'STO HP5 PB BAN'!G46</f>
        <v>1.6087291234048604E-2</v>
      </c>
      <c r="P34" s="96">
        <f>'STO HP5 PB BAN'!H46</f>
        <v>1.4859309807487332E-2</v>
      </c>
      <c r="Q34" s="96">
        <f>'STO P15 PB PAR '!G46</f>
        <v>4.5297005790173829E-3</v>
      </c>
      <c r="R34" s="96">
        <f>'STO P15 PB PAR '!H46</f>
        <v>4.4920188945541022E-3</v>
      </c>
      <c r="S34" s="60">
        <f t="shared" si="0"/>
        <v>2.5185746195343559E-2</v>
      </c>
      <c r="T34" s="60">
        <f t="shared" si="1"/>
        <v>2.2048634160426305E-2</v>
      </c>
      <c r="U34" s="60">
        <f t="shared" si="2"/>
        <v>1.6287021223885114E-2</v>
      </c>
      <c r="V34" s="60">
        <f t="shared" si="7"/>
        <v>1.3428691942247791E-2</v>
      </c>
      <c r="W34" s="60">
        <f t="shared" si="3"/>
        <v>3.4084471166802015E-2</v>
      </c>
      <c r="X34" s="60">
        <f t="shared" si="4"/>
        <v>3.0668576378604821E-2</v>
      </c>
      <c r="Y34" s="232">
        <f t="shared" si="5"/>
        <v>0</v>
      </c>
      <c r="Z34" s="232">
        <f t="shared" si="6"/>
        <v>0</v>
      </c>
    </row>
    <row r="35" spans="1:26" ht="25.5" x14ac:dyDescent="0.25">
      <c r="A35" s="543"/>
      <c r="B35" s="203" t="s">
        <v>62</v>
      </c>
      <c r="C35" s="176">
        <f>'ISS P15 PB BAN'!G47</f>
        <v>3.8175635490578378E-3</v>
      </c>
      <c r="D35" s="96">
        <f>'ISS P15 PB BAN'!H47</f>
        <v>3.5695452765647367E-3</v>
      </c>
      <c r="E35" s="96">
        <f>'ISS P15 PB PAR'!G47</f>
        <v>8.2919937220374464E-3</v>
      </c>
      <c r="F35" s="96">
        <f>'ISS P15 PB PAR'!H47</f>
        <v>6.711343299787037E-3</v>
      </c>
      <c r="G35" s="96">
        <f>'IVR P15 PB BAN'!G47</f>
        <v>9.5743879630037169E-3</v>
      </c>
      <c r="H35" s="96">
        <f>'IVR P15 PB BAN'!H47</f>
        <v>8.6596125722946133E-3</v>
      </c>
      <c r="I35" s="96">
        <f>'IVR P15 PB PAR'!G47</f>
        <v>1.1161098340685892E-2</v>
      </c>
      <c r="J35" s="96">
        <f>'IVR P15 PB PAR'!H47</f>
        <v>1.045931743800871E-2</v>
      </c>
      <c r="K35" s="96">
        <f>'ROM P15 PB BAN'!G47</f>
        <v>3.747092055031538E-3</v>
      </c>
      <c r="L35" s="96">
        <f>'ROM P15 PB BAN'!H47</f>
        <v>3.2033049595181643E-3</v>
      </c>
      <c r="M35" s="96">
        <f>'ROM P15 PB PAR'!G47</f>
        <v>8.3211429034883953E-3</v>
      </c>
      <c r="N35" s="96">
        <f>'ROM P15 PB PAR'!H47</f>
        <v>6.0702585843565955E-3</v>
      </c>
      <c r="O35" s="96">
        <f>'STO HP5 PB BAN'!G47</f>
        <v>6.2590960722716266E-3</v>
      </c>
      <c r="P35" s="96">
        <f>'STO HP5 PB BAN'!H47</f>
        <v>5.7813242950351517E-3</v>
      </c>
      <c r="Q35" s="96">
        <f>'STO P15 PB PAR '!G47</f>
        <v>1.4211049519733988E-3</v>
      </c>
      <c r="R35" s="96">
        <f>'STO P15 PB PAR '!H47</f>
        <v>1.409283060557988E-3</v>
      </c>
      <c r="S35" s="60">
        <f t="shared" si="0"/>
        <v>6.5741849446937298E-3</v>
      </c>
      <c r="T35" s="60">
        <f t="shared" si="1"/>
        <v>5.7329986857653737E-3</v>
      </c>
      <c r="U35" s="60">
        <f t="shared" si="2"/>
        <v>7.2988349795462832E-3</v>
      </c>
      <c r="V35" s="60">
        <f t="shared" si="7"/>
        <v>6.1625505956775821E-3</v>
      </c>
      <c r="W35" s="60">
        <f t="shared" si="3"/>
        <v>5.8495349098411798E-3</v>
      </c>
      <c r="X35" s="60">
        <f t="shared" si="4"/>
        <v>5.3034467758531663E-3</v>
      </c>
      <c r="Y35" s="232">
        <f t="shared" si="5"/>
        <v>0</v>
      </c>
      <c r="Z35" s="232">
        <f t="shared" si="6"/>
        <v>0</v>
      </c>
    </row>
    <row r="36" spans="1:26" x14ac:dyDescent="0.25">
      <c r="A36" s="543"/>
      <c r="B36" s="203" t="s">
        <v>63</v>
      </c>
      <c r="C36" s="176">
        <f>'ISS P15 PB BAN'!G48</f>
        <v>0</v>
      </c>
      <c r="D36" s="96">
        <f>'ISS P15 PB BAN'!H48</f>
        <v>0</v>
      </c>
      <c r="E36" s="96">
        <f>'ISS P15 PB PAR'!G48</f>
        <v>1.0379177121731411E-2</v>
      </c>
      <c r="F36" s="96">
        <f>'ISS P15 PB PAR'!H48</f>
        <v>8.4006601027815445E-3</v>
      </c>
      <c r="G36" s="96">
        <f>'IVR P15 PB BAN'!G48</f>
        <v>6.2948940110779741E-3</v>
      </c>
      <c r="H36" s="96">
        <f>'IVR P15 PB BAN'!H48</f>
        <v>5.6934546135198978E-3</v>
      </c>
      <c r="I36" s="96">
        <f>'IVR P15 PB PAR'!G48</f>
        <v>0</v>
      </c>
      <c r="J36" s="96">
        <f>'IVR P15 PB PAR'!H48</f>
        <v>0</v>
      </c>
      <c r="K36" s="96">
        <f>'ROM P15 PB BAN'!G48</f>
        <v>0</v>
      </c>
      <c r="L36" s="96">
        <f>'ROM P15 PB BAN'!H48</f>
        <v>0</v>
      </c>
      <c r="M36" s="96">
        <f>'ROM P15 PB PAR'!G48</f>
        <v>0</v>
      </c>
      <c r="N36" s="96">
        <f>'ROM P15 PB PAR'!H48</f>
        <v>0</v>
      </c>
      <c r="O36" s="96">
        <f>'STO HP5 PB BAN'!G48</f>
        <v>0</v>
      </c>
      <c r="P36" s="96">
        <f>'STO HP5 PB BAN'!H48</f>
        <v>0</v>
      </c>
      <c r="Q36" s="96">
        <f>'STO P15 PB PAR '!G48</f>
        <v>0</v>
      </c>
      <c r="R36" s="96">
        <f>'STO P15 PB PAR '!H48</f>
        <v>0</v>
      </c>
      <c r="S36" s="60">
        <f t="shared" si="0"/>
        <v>2.0842588916011734E-3</v>
      </c>
      <c r="T36" s="60">
        <f t="shared" si="1"/>
        <v>1.7617643395376804E-3</v>
      </c>
      <c r="U36" s="60">
        <f t="shared" si="2"/>
        <v>2.5947942804328528E-3</v>
      </c>
      <c r="V36" s="60">
        <f t="shared" si="7"/>
        <v>2.1001650256953861E-3</v>
      </c>
      <c r="W36" s="60">
        <f t="shared" si="3"/>
        <v>1.5737235027694935E-3</v>
      </c>
      <c r="X36" s="60">
        <f t="shared" si="4"/>
        <v>1.4233636533799744E-3</v>
      </c>
      <c r="Y36" s="232">
        <f t="shared" si="5"/>
        <v>0</v>
      </c>
      <c r="Z36" s="232">
        <f t="shared" si="6"/>
        <v>0</v>
      </c>
    </row>
    <row r="37" spans="1:26" ht="25.5" x14ac:dyDescent="0.25">
      <c r="A37" s="543"/>
      <c r="B37" s="203" t="s">
        <v>64</v>
      </c>
      <c r="C37" s="176">
        <f>'ISS P15 PB BAN'!G49</f>
        <v>0</v>
      </c>
      <c r="D37" s="96">
        <f>'ISS P15 PB BAN'!H49</f>
        <v>0</v>
      </c>
      <c r="E37" s="96">
        <f>'ISS P15 PB PAR'!G49</f>
        <v>0</v>
      </c>
      <c r="F37" s="96">
        <f>'ISS P15 PB PAR'!H49</f>
        <v>0</v>
      </c>
      <c r="G37" s="96">
        <f>'IVR P15 PB BAN'!G49</f>
        <v>0</v>
      </c>
      <c r="H37" s="96">
        <f>'IVR P15 PB BAN'!H49</f>
        <v>0</v>
      </c>
      <c r="I37" s="96">
        <f>'IVR P15 PB PAR'!G49</f>
        <v>3.9142882705556076E-3</v>
      </c>
      <c r="J37" s="96">
        <f>'IVR P15 PB PAR'!H49</f>
        <v>3.6681679809569042E-3</v>
      </c>
      <c r="K37" s="96">
        <f>'ROM P15 PB BAN'!G49</f>
        <v>0</v>
      </c>
      <c r="L37" s="96">
        <f>'ROM P15 PB BAN'!H49</f>
        <v>0</v>
      </c>
      <c r="M37" s="96">
        <f>'ROM P15 PB PAR'!G49</f>
        <v>0</v>
      </c>
      <c r="N37" s="96">
        <f>'ROM P15 PB PAR'!H49</f>
        <v>0</v>
      </c>
      <c r="O37" s="96">
        <f>'STO HP5 PB BAN'!G49</f>
        <v>0</v>
      </c>
      <c r="P37" s="96">
        <f>'STO HP5 PB BAN'!H49</f>
        <v>0</v>
      </c>
      <c r="Q37" s="96">
        <f>'STO P15 PB PAR '!G49</f>
        <v>0</v>
      </c>
      <c r="R37" s="96">
        <f>'STO P15 PB PAR '!H49</f>
        <v>0</v>
      </c>
      <c r="S37" s="60">
        <f t="shared" si="0"/>
        <v>4.8928603381945095E-4</v>
      </c>
      <c r="T37" s="60">
        <f t="shared" si="1"/>
        <v>4.5852099761961303E-4</v>
      </c>
      <c r="U37" s="60">
        <f t="shared" si="2"/>
        <v>9.7857206763890189E-4</v>
      </c>
      <c r="V37" s="60">
        <f t="shared" si="7"/>
        <v>9.1704199523922605E-4</v>
      </c>
      <c r="W37" s="60">
        <f t="shared" si="3"/>
        <v>0</v>
      </c>
      <c r="X37" s="60">
        <f t="shared" si="4"/>
        <v>0</v>
      </c>
      <c r="Y37" s="232">
        <f t="shared" si="5"/>
        <v>0</v>
      </c>
      <c r="Z37" s="232">
        <f t="shared" si="6"/>
        <v>0</v>
      </c>
    </row>
    <row r="38" spans="1:26" x14ac:dyDescent="0.25">
      <c r="A38" s="543"/>
      <c r="B38" s="203" t="s">
        <v>65</v>
      </c>
      <c r="C38" s="176">
        <f>'ISS P15 PB BAN'!G50</f>
        <v>6.6008420285261721E-4</v>
      </c>
      <c r="D38" s="96">
        <f>'ISS P15 PB BAN'!H50</f>
        <v>6.1720005918671915E-4</v>
      </c>
      <c r="E38" s="96">
        <f>'ISS P15 PB PAR'!G50</f>
        <v>2.2241093832281629E-3</v>
      </c>
      <c r="F38" s="96">
        <f>'ISS P15 PB PAR'!H50</f>
        <v>1.8001414505960478E-3</v>
      </c>
      <c r="G38" s="96">
        <f>'IVR P15 PB BAN'!G50</f>
        <v>0</v>
      </c>
      <c r="H38" s="96">
        <f>'IVR P15 PB BAN'!H50</f>
        <v>0</v>
      </c>
      <c r="I38" s="96">
        <f>'IVR P15 PB PAR'!G50</f>
        <v>3.3067133054830995E-3</v>
      </c>
      <c r="J38" s="96">
        <f>'IVR P15 PB PAR'!H50</f>
        <v>3.0987957531435359E-3</v>
      </c>
      <c r="K38" s="96">
        <f>'ROM P15 PB BAN'!G50</f>
        <v>8.8823568475709935E-3</v>
      </c>
      <c r="L38" s="96">
        <f>'ROM P15 PB BAN'!H50</f>
        <v>7.593327658931723E-3</v>
      </c>
      <c r="M38" s="96">
        <f>'ROM P15 PB PAR'!G50</f>
        <v>3.6076748770325209E-4</v>
      </c>
      <c r="N38" s="96">
        <f>'ROM P15 PB PAR'!H50</f>
        <v>2.6317922484774963E-4</v>
      </c>
      <c r="O38" s="96">
        <f>'STO HP5 PB BAN'!G50</f>
        <v>8.0307040507842872E-4</v>
      </c>
      <c r="P38" s="96">
        <f>'STO HP5 PB BAN'!H50</f>
        <v>7.4177011982156976E-4</v>
      </c>
      <c r="Q38" s="96">
        <f>'STO P15 PB PAR '!G50</f>
        <v>1.4005257973993674E-4</v>
      </c>
      <c r="R38" s="96">
        <f>'STO P15 PB PAR '!H50</f>
        <v>1.3888750999063037E-4</v>
      </c>
      <c r="S38" s="60">
        <f t="shared" si="0"/>
        <v>2.0471442764570615E-3</v>
      </c>
      <c r="T38" s="60">
        <f t="shared" si="1"/>
        <v>1.781662722064747E-3</v>
      </c>
      <c r="U38" s="60">
        <f t="shared" si="2"/>
        <v>1.507910689038613E-3</v>
      </c>
      <c r="V38" s="60">
        <f t="shared" si="7"/>
        <v>1.3252509846444908E-3</v>
      </c>
      <c r="W38" s="60">
        <f t="shared" si="3"/>
        <v>2.5863778638755097E-3</v>
      </c>
      <c r="X38" s="60">
        <f t="shared" si="4"/>
        <v>2.2380744594850031E-3</v>
      </c>
      <c r="Y38" s="232">
        <f t="shared" si="5"/>
        <v>0</v>
      </c>
      <c r="Z38" s="232">
        <f t="shared" si="6"/>
        <v>0</v>
      </c>
    </row>
    <row r="39" spans="1:26" x14ac:dyDescent="0.25">
      <c r="A39" s="543"/>
      <c r="B39" s="203" t="s">
        <v>66</v>
      </c>
      <c r="C39" s="176">
        <f>'ISS P15 PB BAN'!G51</f>
        <v>0</v>
      </c>
      <c r="D39" s="96">
        <f>'ISS P15 PB BAN'!H51</f>
        <v>0</v>
      </c>
      <c r="E39" s="96">
        <f>'ISS P15 PB PAR'!G51</f>
        <v>0</v>
      </c>
      <c r="F39" s="96">
        <f>'ISS P15 PB PAR'!H51</f>
        <v>0</v>
      </c>
      <c r="G39" s="96">
        <f>'IVR P15 PB BAN'!G51</f>
        <v>0</v>
      </c>
      <c r="H39" s="96">
        <f>'IVR P15 PB BAN'!H51</f>
        <v>0</v>
      </c>
      <c r="I39" s="96">
        <f>'IVR P15 PB PAR'!G51</f>
        <v>7.8038434009401192E-3</v>
      </c>
      <c r="J39" s="96">
        <f>'IVR P15 PB PAR'!H51</f>
        <v>7.3131579774187491E-3</v>
      </c>
      <c r="K39" s="96">
        <f>'ROM P15 PB BAN'!G51</f>
        <v>2.792242539981761E-3</v>
      </c>
      <c r="L39" s="96">
        <f>'ROM P15 PB BAN'!H51</f>
        <v>2.3870255240969491E-3</v>
      </c>
      <c r="M39" s="96">
        <f>'ROM P15 PB PAR'!G51</f>
        <v>1.2808605800567542E-4</v>
      </c>
      <c r="N39" s="96">
        <f>'ROM P15 PB PAR'!H51</f>
        <v>9.3438545902077647E-5</v>
      </c>
      <c r="O39" s="96">
        <f>'STO HP5 PB BAN'!G51</f>
        <v>2.6192343473605134E-2</v>
      </c>
      <c r="P39" s="96">
        <f>'STO HP5 PB BAN'!H51</f>
        <v>2.4193019234629076E-2</v>
      </c>
      <c r="Q39" s="96">
        <f>'STO P15 PB PAR '!G51</f>
        <v>0</v>
      </c>
      <c r="R39" s="96">
        <f>'STO P15 PB PAR '!H51</f>
        <v>0</v>
      </c>
      <c r="S39" s="60">
        <f t="shared" si="0"/>
        <v>4.6145644340665863E-3</v>
      </c>
      <c r="T39" s="60">
        <f t="shared" si="1"/>
        <v>4.248330160255857E-3</v>
      </c>
      <c r="U39" s="60">
        <f t="shared" si="2"/>
        <v>1.9829823647364488E-3</v>
      </c>
      <c r="V39" s="60">
        <f t="shared" si="7"/>
        <v>1.8516491308302066E-3</v>
      </c>
      <c r="W39" s="60">
        <f t="shared" si="3"/>
        <v>7.2461465033967238E-3</v>
      </c>
      <c r="X39" s="60">
        <f t="shared" si="4"/>
        <v>6.6450111896815059E-3</v>
      </c>
      <c r="Y39" s="232">
        <f t="shared" si="5"/>
        <v>0</v>
      </c>
      <c r="Z39" s="232">
        <f t="shared" si="6"/>
        <v>0</v>
      </c>
    </row>
    <row r="40" spans="1:26" ht="25.5" x14ac:dyDescent="0.25">
      <c r="A40" s="204" t="s">
        <v>67</v>
      </c>
      <c r="B40" s="181" t="s">
        <v>68</v>
      </c>
      <c r="C40" s="174">
        <f>'ISS P15 PB BAN'!G52</f>
        <v>0</v>
      </c>
      <c r="D40" s="111">
        <f>'ISS P15 PB BAN'!H52</f>
        <v>0</v>
      </c>
      <c r="E40" s="111">
        <f>'ISS P15 PB PAR'!G52</f>
        <v>7.6823917405496487E-3</v>
      </c>
      <c r="F40" s="111">
        <f>'ISS P15 PB PAR'!H52</f>
        <v>6.8760967898570833E-3</v>
      </c>
      <c r="G40" s="111">
        <f>'IVR P15 PB BAN'!G52</f>
        <v>2.508891981348346E-3</v>
      </c>
      <c r="H40" s="111">
        <f>'IVR P15 PB BAN'!H52</f>
        <v>2.5093370714540037E-3</v>
      </c>
      <c r="I40" s="111">
        <f>'IVR P15 PB PAR'!G52</f>
        <v>4.8929678735865553E-2</v>
      </c>
      <c r="J40" s="111">
        <f>'IVR P15 PB PAR'!H52</f>
        <v>5.0706089774172763E-2</v>
      </c>
      <c r="K40" s="111">
        <f>'ROM P15 PB BAN'!G52</f>
        <v>6.7889185149782399E-2</v>
      </c>
      <c r="L40" s="111">
        <f>'ROM P15 PB BAN'!H52</f>
        <v>6.4179741168242502E-2</v>
      </c>
      <c r="M40" s="111">
        <f>'ROM P15 PB PAR'!G52</f>
        <v>2.292295351613538E-2</v>
      </c>
      <c r="N40" s="111">
        <f>'ROM P15 PB PAR'!H52</f>
        <v>1.8492397619960493E-2</v>
      </c>
      <c r="O40" s="111">
        <f>'STO HP5 PB BAN'!G52</f>
        <v>0</v>
      </c>
      <c r="P40" s="111">
        <f>'STO HP5 PB BAN'!H52</f>
        <v>0</v>
      </c>
      <c r="Q40" s="111">
        <f>'STO P15 PB PAR '!G52</f>
        <v>1.3237541179745765E-2</v>
      </c>
      <c r="R40" s="111">
        <f>'STO P15 PB PAR '!H52</f>
        <v>1.4516804175441373E-2</v>
      </c>
      <c r="S40" s="62">
        <f t="shared" si="0"/>
        <v>2.0396330287928387E-2</v>
      </c>
      <c r="T40" s="62">
        <f t="shared" si="1"/>
        <v>1.9660058324891028E-2</v>
      </c>
      <c r="U40" s="62">
        <f t="shared" si="2"/>
        <v>2.3193141293074086E-2</v>
      </c>
      <c r="V40" s="62">
        <f t="shared" si="7"/>
        <v>2.2647847089857929E-2</v>
      </c>
      <c r="W40" s="62">
        <f t="shared" si="3"/>
        <v>1.7599519282782687E-2</v>
      </c>
      <c r="X40" s="62">
        <f t="shared" si="4"/>
        <v>1.6672269559924128E-2</v>
      </c>
      <c r="Y40" s="232">
        <f t="shared" si="5"/>
        <v>0</v>
      </c>
      <c r="Z40" s="232">
        <f t="shared" si="6"/>
        <v>0</v>
      </c>
    </row>
    <row r="41" spans="1:26" x14ac:dyDescent="0.25">
      <c r="A41" s="543" t="s">
        <v>69</v>
      </c>
      <c r="B41" s="203" t="s">
        <v>121</v>
      </c>
      <c r="C41" s="176">
        <f>'ISS P15 PB BAN'!G53</f>
        <v>0</v>
      </c>
      <c r="D41" s="96">
        <f>'ISS P15 PB BAN'!H53</f>
        <v>0</v>
      </c>
      <c r="E41" s="96">
        <f>'ISS P15 PB PAR'!G53</f>
        <v>0</v>
      </c>
      <c r="F41" s="96">
        <f>'ISS P15 PB PAR'!H53</f>
        <v>0</v>
      </c>
      <c r="G41" s="96">
        <f>'IVR P15 PB BAN'!G53</f>
        <v>1.3204694638675504E-3</v>
      </c>
      <c r="H41" s="96">
        <f>'IVR P15 PB BAN'!H53</f>
        <v>1.1809300323012129E-3</v>
      </c>
      <c r="I41" s="96">
        <f>'IVR P15 PB PAR'!G53</f>
        <v>0</v>
      </c>
      <c r="J41" s="96">
        <f>'IVR P15 PB PAR'!H53</f>
        <v>0</v>
      </c>
      <c r="K41" s="96">
        <f>'ROM P15 PB BAN'!G53</f>
        <v>1.3640707357853964E-3</v>
      </c>
      <c r="L41" s="96">
        <f>'ROM P15 PB BAN'!H53</f>
        <v>1.1532090052457299E-3</v>
      </c>
      <c r="M41" s="96">
        <f>'ROM P15 PB PAR'!G53</f>
        <v>0</v>
      </c>
      <c r="N41" s="96">
        <f>'ROM P15 PB PAR'!H53</f>
        <v>0</v>
      </c>
      <c r="O41" s="96">
        <f>'STO HP5 PB BAN'!G53</f>
        <v>0</v>
      </c>
      <c r="P41" s="96">
        <f>'STO HP5 PB BAN'!H53</f>
        <v>0</v>
      </c>
      <c r="Q41" s="96">
        <f>'STO P15 PB PAR '!G53</f>
        <v>0</v>
      </c>
      <c r="R41" s="96">
        <f>'STO P15 PB PAR '!H53</f>
        <v>0</v>
      </c>
      <c r="S41" s="60">
        <f t="shared" si="0"/>
        <v>3.3556752495661837E-4</v>
      </c>
      <c r="T41" s="60">
        <f t="shared" si="1"/>
        <v>2.9176737969336785E-4</v>
      </c>
      <c r="U41" s="60">
        <f t="shared" si="2"/>
        <v>0</v>
      </c>
      <c r="V41" s="60">
        <f t="shared" si="7"/>
        <v>0</v>
      </c>
      <c r="W41" s="60">
        <f t="shared" si="3"/>
        <v>6.7113504991323674E-4</v>
      </c>
      <c r="X41" s="60">
        <f t="shared" si="4"/>
        <v>5.835347593867357E-4</v>
      </c>
      <c r="Y41" s="232">
        <f t="shared" si="5"/>
        <v>0</v>
      </c>
      <c r="Z41" s="232">
        <f t="shared" si="6"/>
        <v>0</v>
      </c>
    </row>
    <row r="42" spans="1:26" ht="25.5" x14ac:dyDescent="0.25">
      <c r="A42" s="543"/>
      <c r="B42" s="203" t="s">
        <v>70</v>
      </c>
      <c r="C42" s="176">
        <f>'ISS P15 PB BAN'!G54</f>
        <v>0</v>
      </c>
      <c r="D42" s="96">
        <f>'ISS P15 PB BAN'!H54</f>
        <v>0</v>
      </c>
      <c r="E42" s="96">
        <f>'ISS P15 PB PAR'!G54</f>
        <v>5.9309583552751019E-3</v>
      </c>
      <c r="F42" s="96">
        <f>'ISS P15 PB PAR'!H54</f>
        <v>4.7475230519706023E-3</v>
      </c>
      <c r="G42" s="96">
        <f>'IVR P15 PB BAN'!G54</f>
        <v>0</v>
      </c>
      <c r="H42" s="96">
        <f>'IVR P15 PB BAN'!H54</f>
        <v>0</v>
      </c>
      <c r="I42" s="96">
        <f>'IVR P15 PB PAR'!G54</f>
        <v>0</v>
      </c>
      <c r="J42" s="96">
        <f>'IVR P15 PB PAR'!H54</f>
        <v>0</v>
      </c>
      <c r="K42" s="96">
        <f>'ROM P15 PB BAN'!G54</f>
        <v>0</v>
      </c>
      <c r="L42" s="96">
        <f>'ROM P15 PB BAN'!H54</f>
        <v>0</v>
      </c>
      <c r="M42" s="96">
        <f>'ROM P15 PB PAR'!G54</f>
        <v>0</v>
      </c>
      <c r="N42" s="96">
        <f>'ROM P15 PB PAR'!H54</f>
        <v>0</v>
      </c>
      <c r="O42" s="96">
        <f>'STO HP5 PB BAN'!G54</f>
        <v>0</v>
      </c>
      <c r="P42" s="96">
        <f>'STO HP5 PB BAN'!H54</f>
        <v>0</v>
      </c>
      <c r="Q42" s="96">
        <f>'STO P15 PB PAR '!G54</f>
        <v>0</v>
      </c>
      <c r="R42" s="96">
        <f>'STO P15 PB PAR '!H54</f>
        <v>0</v>
      </c>
      <c r="S42" s="60">
        <f t="shared" si="0"/>
        <v>7.4136979440938774E-4</v>
      </c>
      <c r="T42" s="60">
        <f t="shared" si="1"/>
        <v>5.9344038149632529E-4</v>
      </c>
      <c r="U42" s="60">
        <f t="shared" si="2"/>
        <v>1.4827395888187755E-3</v>
      </c>
      <c r="V42" s="60">
        <f t="shared" si="7"/>
        <v>1.1868807629926506E-3</v>
      </c>
      <c r="W42" s="60">
        <f t="shared" si="3"/>
        <v>0</v>
      </c>
      <c r="X42" s="60">
        <f t="shared" si="4"/>
        <v>0</v>
      </c>
      <c r="Y42" s="232">
        <f t="shared" si="5"/>
        <v>0</v>
      </c>
      <c r="Z42" s="232">
        <f t="shared" si="6"/>
        <v>0</v>
      </c>
    </row>
    <row r="43" spans="1:26" x14ac:dyDescent="0.25">
      <c r="A43" s="543"/>
      <c r="B43" s="203" t="s">
        <v>71</v>
      </c>
      <c r="C43" s="176">
        <f>'ISS P15 PB BAN'!G55</f>
        <v>0</v>
      </c>
      <c r="D43" s="96">
        <f>'ISS P15 PB BAN'!H55</f>
        <v>0</v>
      </c>
      <c r="E43" s="96">
        <f>'ISS P15 PB PAR'!G55</f>
        <v>1.7669078971123151E-3</v>
      </c>
      <c r="F43" s="96">
        <f>'ISS P15 PB PAR'!H55</f>
        <v>1.4143474746857378E-3</v>
      </c>
      <c r="G43" s="96">
        <f>'IVR P15 PB BAN'!G55</f>
        <v>1.6786384029541242E-2</v>
      </c>
      <c r="H43" s="96">
        <f>'IVR P15 PB BAN'!H55</f>
        <v>1.5012497885536187E-2</v>
      </c>
      <c r="I43" s="96">
        <f>'IVR P15 PB PAR'!G55</f>
        <v>3.9142882705556076E-3</v>
      </c>
      <c r="J43" s="96">
        <f>'IVR P15 PB PAR'!H55</f>
        <v>3.6273073974652159E-3</v>
      </c>
      <c r="K43" s="96">
        <f>'ROM P15 PB BAN'!G55</f>
        <v>7.44598010661803E-3</v>
      </c>
      <c r="L43" s="96">
        <f>'ROM P15 PB BAN'!H55</f>
        <v>6.2949604346496258E-3</v>
      </c>
      <c r="M43" s="96">
        <f>'ROM P15 PB PAR'!G55</f>
        <v>0</v>
      </c>
      <c r="N43" s="96">
        <f>'ROM P15 PB PAR'!H55</f>
        <v>0</v>
      </c>
      <c r="O43" s="96">
        <f>'STO HP5 PB BAN'!G55</f>
        <v>2.1880490921676152E-3</v>
      </c>
      <c r="P43" s="96">
        <f>'STO HP5 PB BAN'!H55</f>
        <v>1.4E-3</v>
      </c>
      <c r="Q43" s="96">
        <f>'STO P15 PB PAR '!G55</f>
        <v>0</v>
      </c>
      <c r="R43" s="96">
        <f>'STO P15 PB PAR '!H55</f>
        <v>0</v>
      </c>
      <c r="S43" s="60">
        <f t="shared" si="0"/>
        <v>4.0127011744993521E-3</v>
      </c>
      <c r="T43" s="60">
        <f t="shared" si="1"/>
        <v>3.4686391490420954E-3</v>
      </c>
      <c r="U43" s="60">
        <f t="shared" si="2"/>
        <v>1.4202990419169806E-3</v>
      </c>
      <c r="V43" s="60">
        <f t="shared" si="7"/>
        <v>1.2604137180377384E-3</v>
      </c>
      <c r="W43" s="60">
        <f t="shared" si="3"/>
        <v>6.6051033070817214E-3</v>
      </c>
      <c r="X43" s="60">
        <f t="shared" si="4"/>
        <v>5.6768645800464529E-3</v>
      </c>
      <c r="Y43" s="232">
        <f t="shared" si="5"/>
        <v>0</v>
      </c>
      <c r="Z43" s="232">
        <f t="shared" si="6"/>
        <v>0</v>
      </c>
    </row>
    <row r="44" spans="1:26" x14ac:dyDescent="0.25">
      <c r="A44" s="543"/>
      <c r="B44" s="203" t="s">
        <v>72</v>
      </c>
      <c r="C44" s="176">
        <f>'ISS P15 PB BAN'!G56</f>
        <v>0</v>
      </c>
      <c r="D44" s="96">
        <f>'ISS P15 PB BAN'!H56</f>
        <v>0</v>
      </c>
      <c r="E44" s="96">
        <f>'ISS P15 PB PAR'!G56</f>
        <v>0</v>
      </c>
      <c r="F44" s="96">
        <f>'ISS P15 PB PAR'!H56</f>
        <v>0</v>
      </c>
      <c r="G44" s="96">
        <f>'IVR P15 PB BAN'!G56</f>
        <v>0</v>
      </c>
      <c r="H44" s="96">
        <f>'IVR P15 PB BAN'!H56</f>
        <v>0</v>
      </c>
      <c r="I44" s="96">
        <f>'IVR P15 PB PAR'!G56</f>
        <v>0</v>
      </c>
      <c r="J44" s="96">
        <f>'IVR P15 PB PAR'!H56</f>
        <v>0</v>
      </c>
      <c r="K44" s="96">
        <f>'ROM P15 PB BAN'!G56</f>
        <v>0</v>
      </c>
      <c r="L44" s="96">
        <f>'ROM P15 PB BAN'!H56</f>
        <v>0</v>
      </c>
      <c r="M44" s="96">
        <f>'ROM P15 PB PAR'!G56</f>
        <v>0</v>
      </c>
      <c r="N44" s="96">
        <f>'ROM P15 PB PAR'!H56</f>
        <v>0</v>
      </c>
      <c r="O44" s="96">
        <f>'STO HP5 PB BAN'!G56</f>
        <v>0</v>
      </c>
      <c r="P44" s="96">
        <f>'STO HP5 PB BAN'!H56</f>
        <v>0</v>
      </c>
      <c r="Q44" s="96">
        <f>'STO P15 PB PAR '!G56</f>
        <v>0</v>
      </c>
      <c r="R44" s="96">
        <f>'STO P15 PB PAR '!H56</f>
        <v>0</v>
      </c>
      <c r="S44" s="60">
        <f t="shared" si="0"/>
        <v>0</v>
      </c>
      <c r="T44" s="60">
        <f t="shared" si="1"/>
        <v>0</v>
      </c>
      <c r="U44" s="60">
        <f t="shared" si="2"/>
        <v>0</v>
      </c>
      <c r="V44" s="60">
        <f t="shared" si="7"/>
        <v>0</v>
      </c>
      <c r="W44" s="60">
        <f t="shared" si="3"/>
        <v>0</v>
      </c>
      <c r="X44" s="60">
        <f t="shared" si="4"/>
        <v>0</v>
      </c>
      <c r="Y44" s="232">
        <f t="shared" si="5"/>
        <v>0</v>
      </c>
      <c r="Z44" s="232">
        <f t="shared" si="6"/>
        <v>0</v>
      </c>
    </row>
    <row r="45" spans="1:26" ht="25.5" x14ac:dyDescent="0.25">
      <c r="A45" s="543"/>
      <c r="B45" s="203" t="s">
        <v>122</v>
      </c>
      <c r="C45" s="176">
        <f>'ISS P15 PB BAN'!G57</f>
        <v>0</v>
      </c>
      <c r="D45" s="96">
        <f>'ISS P15 PB BAN'!H57</f>
        <v>0</v>
      </c>
      <c r="E45" s="96">
        <f>'ISS P15 PB PAR'!G57</f>
        <v>0</v>
      </c>
      <c r="F45" s="96">
        <f>'ISS P15 PB PAR'!H57</f>
        <v>0</v>
      </c>
      <c r="G45" s="96">
        <f>'IVR P15 PB BAN'!G57</f>
        <v>1.0491490018463281E-3</v>
      </c>
      <c r="H45" s="96">
        <f>'IVR P15 PB BAN'!H57</f>
        <v>9.3828111784601215E-4</v>
      </c>
      <c r="I45" s="96">
        <f>'IVR P15 PB PAR'!G57</f>
        <v>0</v>
      </c>
      <c r="J45" s="96">
        <f>'IVR P15 PB PAR'!H57</f>
        <v>0</v>
      </c>
      <c r="K45" s="96">
        <f>'ROM P15 PB BAN'!G57</f>
        <v>0</v>
      </c>
      <c r="L45" s="96">
        <f>'ROM P15 PB BAN'!H57</f>
        <v>0</v>
      </c>
      <c r="M45" s="96">
        <f>'ROM P15 PB PAR'!G57</f>
        <v>0</v>
      </c>
      <c r="N45" s="96">
        <f>'ROM P15 PB PAR'!H57</f>
        <v>0</v>
      </c>
      <c r="O45" s="96">
        <f>'STO HP5 PB BAN'!G57</f>
        <v>0</v>
      </c>
      <c r="P45" s="96">
        <f>'STO HP5 PB BAN'!H57</f>
        <v>0</v>
      </c>
      <c r="Q45" s="96">
        <f>'STO P15 PB PAR '!G57</f>
        <v>0</v>
      </c>
      <c r="R45" s="96">
        <f>'STO P15 PB PAR '!H57</f>
        <v>0</v>
      </c>
      <c r="S45" s="60">
        <f t="shared" si="0"/>
        <v>1.3114362523079101E-4</v>
      </c>
      <c r="T45" s="60">
        <f t="shared" si="1"/>
        <v>1.1728513973075152E-4</v>
      </c>
      <c r="U45" s="60">
        <f t="shared" si="2"/>
        <v>0</v>
      </c>
      <c r="V45" s="60">
        <f t="shared" si="7"/>
        <v>0</v>
      </c>
      <c r="W45" s="60">
        <f t="shared" si="3"/>
        <v>2.6228725046158202E-4</v>
      </c>
      <c r="X45" s="60">
        <f t="shared" si="4"/>
        <v>2.3457027946150304E-4</v>
      </c>
      <c r="Y45" s="232">
        <f t="shared" si="5"/>
        <v>0</v>
      </c>
      <c r="Z45" s="232">
        <f t="shared" si="6"/>
        <v>0</v>
      </c>
    </row>
    <row r="46" spans="1:26" x14ac:dyDescent="0.25">
      <c r="A46" s="543"/>
      <c r="B46" s="203" t="s">
        <v>123</v>
      </c>
      <c r="C46" s="176">
        <f>'ISS P15 PB BAN'!G58</f>
        <v>0</v>
      </c>
      <c r="D46" s="96">
        <f>'ISS P15 PB BAN'!H58</f>
        <v>0</v>
      </c>
      <c r="E46" s="96">
        <f>'ISS P15 PB PAR'!G58</f>
        <v>0</v>
      </c>
      <c r="F46" s="96">
        <f>'ISS P15 PB PAR'!H58</f>
        <v>0</v>
      </c>
      <c r="G46" s="96">
        <f>'IVR P15 PB BAN'!G58</f>
        <v>0</v>
      </c>
      <c r="H46" s="96">
        <f>'IVR P15 PB BAN'!H58</f>
        <v>0</v>
      </c>
      <c r="I46" s="96">
        <f>'IVR P15 PB PAR'!G58</f>
        <v>0</v>
      </c>
      <c r="J46" s="96">
        <f>'IVR P15 PB PAR'!H58</f>
        <v>0</v>
      </c>
      <c r="K46" s="96">
        <f>'ROM P15 PB BAN'!G58</f>
        <v>0</v>
      </c>
      <c r="L46" s="96">
        <f>'ROM P15 PB BAN'!H58</f>
        <v>0</v>
      </c>
      <c r="M46" s="96">
        <f>'ROM P15 PB PAR'!G58</f>
        <v>0</v>
      </c>
      <c r="N46" s="96">
        <f>'ROM P15 PB PAR'!H58</f>
        <v>0</v>
      </c>
      <c r="O46" s="96">
        <f>'STO HP5 PB BAN'!G58</f>
        <v>0</v>
      </c>
      <c r="P46" s="96">
        <f>'STO HP5 PB BAN'!H58</f>
        <v>0</v>
      </c>
      <c r="Q46" s="96">
        <f>'STO P15 PB PAR '!G58</f>
        <v>0</v>
      </c>
      <c r="R46" s="96">
        <f>'STO P15 PB PAR '!H58</f>
        <v>0</v>
      </c>
      <c r="S46" s="60">
        <f t="shared" si="0"/>
        <v>0</v>
      </c>
      <c r="T46" s="60">
        <f t="shared" si="1"/>
        <v>0</v>
      </c>
      <c r="U46" s="60">
        <f t="shared" si="2"/>
        <v>0</v>
      </c>
      <c r="V46" s="60">
        <f t="shared" si="7"/>
        <v>0</v>
      </c>
      <c r="W46" s="60">
        <f t="shared" si="3"/>
        <v>0</v>
      </c>
      <c r="X46" s="60">
        <f t="shared" si="4"/>
        <v>0</v>
      </c>
      <c r="Y46" s="232">
        <f t="shared" si="5"/>
        <v>0</v>
      </c>
      <c r="Z46" s="232">
        <f t="shared" si="6"/>
        <v>0</v>
      </c>
    </row>
    <row r="47" spans="1:26" x14ac:dyDescent="0.25">
      <c r="A47" s="543"/>
      <c r="B47" s="203" t="s">
        <v>124</v>
      </c>
      <c r="C47" s="176">
        <f>'ISS P15 PB BAN'!G59</f>
        <v>0</v>
      </c>
      <c r="D47" s="96">
        <f>'ISS P15 PB BAN'!H59</f>
        <v>0</v>
      </c>
      <c r="E47" s="96">
        <f>'ISS P15 PB PAR'!G59</f>
        <v>0</v>
      </c>
      <c r="F47" s="96">
        <f>'ISS P15 PB PAR'!H59</f>
        <v>0</v>
      </c>
      <c r="G47" s="96">
        <f>'IVR P15 PB BAN'!G59</f>
        <v>0</v>
      </c>
      <c r="H47" s="96">
        <f>'IVR P15 PB BAN'!H59</f>
        <v>0</v>
      </c>
      <c r="I47" s="96">
        <f>'IVR P15 PB PAR'!G59</f>
        <v>0</v>
      </c>
      <c r="J47" s="96">
        <f>'IVR P15 PB PAR'!H59</f>
        <v>0</v>
      </c>
      <c r="K47" s="96">
        <f>'ROM P15 PB BAN'!G59</f>
        <v>0</v>
      </c>
      <c r="L47" s="96">
        <f>'ROM P15 PB BAN'!H59</f>
        <v>0</v>
      </c>
      <c r="M47" s="96">
        <f>'ROM P15 PB PAR'!G59</f>
        <v>0</v>
      </c>
      <c r="N47" s="96">
        <f>'ROM P15 PB PAR'!H59</f>
        <v>0</v>
      </c>
      <c r="O47" s="96">
        <f>'STO HP5 PB BAN'!G59</f>
        <v>7.7675742771950362E-3</v>
      </c>
      <c r="P47" s="96">
        <f>'STO HP5 PB BAN'!H59</f>
        <v>7.7999999999999996E-3</v>
      </c>
      <c r="Q47" s="96">
        <f>'STO P15 PB PAR '!G59</f>
        <v>0</v>
      </c>
      <c r="R47" s="96">
        <f>'STO P15 PB PAR '!H59</f>
        <v>0</v>
      </c>
      <c r="S47" s="60">
        <f t="shared" si="0"/>
        <v>9.7094678464937953E-4</v>
      </c>
      <c r="T47" s="60">
        <f t="shared" si="1"/>
        <v>9.7499999999999996E-4</v>
      </c>
      <c r="U47" s="60">
        <f t="shared" si="2"/>
        <v>0</v>
      </c>
      <c r="V47" s="60">
        <f t="shared" si="7"/>
        <v>0</v>
      </c>
      <c r="W47" s="60">
        <f t="shared" si="3"/>
        <v>1.9418935692987591E-3</v>
      </c>
      <c r="X47" s="60">
        <f t="shared" si="4"/>
        <v>1.9499999999999999E-3</v>
      </c>
      <c r="Y47" s="232">
        <f t="shared" si="5"/>
        <v>0</v>
      </c>
      <c r="Z47" s="232">
        <f t="shared" si="6"/>
        <v>0</v>
      </c>
    </row>
    <row r="48" spans="1:26" x14ac:dyDescent="0.25">
      <c r="A48" s="543"/>
      <c r="B48" s="203" t="s">
        <v>125</v>
      </c>
      <c r="C48" s="176">
        <f>'ISS P15 PB BAN'!G60</f>
        <v>0</v>
      </c>
      <c r="D48" s="96">
        <f>'ISS P15 PB BAN'!H60</f>
        <v>0</v>
      </c>
      <c r="E48" s="96">
        <f>'ISS P15 PB PAR'!G60</f>
        <v>0</v>
      </c>
      <c r="F48" s="96">
        <f>'ISS P15 PB PAR'!H60</f>
        <v>0</v>
      </c>
      <c r="G48" s="96">
        <f>'IVR P15 PB BAN'!G60</f>
        <v>0</v>
      </c>
      <c r="H48" s="96">
        <f>'IVR P15 PB BAN'!H60</f>
        <v>0</v>
      </c>
      <c r="I48" s="96">
        <f>'IVR P15 PB PAR'!G60</f>
        <v>0</v>
      </c>
      <c r="J48" s="96">
        <f>'IVR P15 PB PAR'!H60</f>
        <v>0</v>
      </c>
      <c r="K48" s="96">
        <f>'ROM P15 PB BAN'!G60</f>
        <v>0</v>
      </c>
      <c r="L48" s="96">
        <f>'ROM P15 PB BAN'!H60</f>
        <v>0</v>
      </c>
      <c r="M48" s="96">
        <f>'ROM P15 PB PAR'!G60</f>
        <v>0</v>
      </c>
      <c r="N48" s="96">
        <f>'ROM P15 PB PAR'!H60</f>
        <v>0</v>
      </c>
      <c r="O48" s="96">
        <f>'STO HP5 PB BAN'!G60</f>
        <v>0</v>
      </c>
      <c r="P48" s="96">
        <f>'STO HP5 PB BAN'!H60</f>
        <v>0</v>
      </c>
      <c r="Q48" s="96">
        <f>'STO P15 PB PAR '!G60</f>
        <v>0</v>
      </c>
      <c r="R48" s="96">
        <f>'STO P15 PB PAR '!H60</f>
        <v>0</v>
      </c>
      <c r="S48" s="60">
        <f t="shared" si="0"/>
        <v>0</v>
      </c>
      <c r="T48" s="60">
        <f t="shared" si="1"/>
        <v>0</v>
      </c>
      <c r="U48" s="60">
        <f t="shared" si="2"/>
        <v>0</v>
      </c>
      <c r="V48" s="60">
        <f t="shared" si="7"/>
        <v>0</v>
      </c>
      <c r="W48" s="60">
        <f t="shared" si="3"/>
        <v>0</v>
      </c>
      <c r="X48" s="60">
        <f t="shared" si="4"/>
        <v>0</v>
      </c>
      <c r="Y48" s="232">
        <f t="shared" si="5"/>
        <v>0</v>
      </c>
      <c r="Z48" s="232">
        <f t="shared" si="6"/>
        <v>0</v>
      </c>
    </row>
    <row r="49" spans="1:26" x14ac:dyDescent="0.25">
      <c r="A49" s="543"/>
      <c r="B49" s="203" t="s">
        <v>126</v>
      </c>
      <c r="C49" s="176">
        <f>'ISS P15 PB BAN'!G61</f>
        <v>0</v>
      </c>
      <c r="D49" s="96">
        <f>'ISS P15 PB BAN'!H61</f>
        <v>0</v>
      </c>
      <c r="E49" s="96">
        <f>'ISS P15 PB PAR'!G61</f>
        <v>2.9448464951871943E-4</v>
      </c>
      <c r="F49" s="96">
        <f>'ISS P15 PB PAR'!H61</f>
        <v>2.3572457911428984E-4</v>
      </c>
      <c r="G49" s="96">
        <f>'IVR P15 PB BAN'!G61</f>
        <v>4.1965960073853158E-3</v>
      </c>
      <c r="H49" s="96">
        <f>'IVR P15 PB BAN'!H61</f>
        <v>3.7531244713840516E-3</v>
      </c>
      <c r="I49" s="96">
        <f>'IVR P15 PB PAR'!G61</f>
        <v>0</v>
      </c>
      <c r="J49" s="96">
        <f>'IVR P15 PB PAR'!H61</f>
        <v>0</v>
      </c>
      <c r="K49" s="96">
        <f>'ROM P15 PB BAN'!G61</f>
        <v>4.6537375666363717E-4</v>
      </c>
      <c r="L49" s="96">
        <f>'ROM P15 PB BAN'!H61</f>
        <v>3.9343502716561029E-4</v>
      </c>
      <c r="M49" s="96">
        <f>'ROM P15 PB PAR'!G61</f>
        <v>1.4430699508129765E-3</v>
      </c>
      <c r="N49" s="96">
        <f>'ROM P15 PB PAR'!H61</f>
        <v>1.0412506652248937E-3</v>
      </c>
      <c r="O49" s="96">
        <f>'STO HP5 PB BAN'!G61</f>
        <v>1.7535822255352643E-3</v>
      </c>
      <c r="P49" s="96">
        <f>'STO HP5 PB BAN'!H61</f>
        <v>1.5E-3</v>
      </c>
      <c r="Q49" s="96">
        <f>'STO P15 PB PAR '!G61</f>
        <v>0</v>
      </c>
      <c r="R49" s="96">
        <f>'STO P15 PB PAR '!H61</f>
        <v>0</v>
      </c>
      <c r="S49" s="60">
        <f t="shared" si="0"/>
        <v>1.0191383237394892E-3</v>
      </c>
      <c r="T49" s="60">
        <f t="shared" si="1"/>
        <v>8.6544184286110578E-4</v>
      </c>
      <c r="U49" s="60">
        <f t="shared" si="2"/>
        <v>4.3438865008292398E-4</v>
      </c>
      <c r="V49" s="60">
        <f t="shared" si="7"/>
        <v>3.1924381108479588E-4</v>
      </c>
      <c r="W49" s="60">
        <f t="shared" si="3"/>
        <v>1.6038879973960542E-3</v>
      </c>
      <c r="X49" s="60">
        <f t="shared" si="4"/>
        <v>1.4116398746374156E-3</v>
      </c>
      <c r="Y49" s="232">
        <f t="shared" si="5"/>
        <v>0</v>
      </c>
      <c r="Z49" s="232">
        <f t="shared" si="6"/>
        <v>0</v>
      </c>
    </row>
    <row r="50" spans="1:26" ht="25.5" x14ac:dyDescent="0.25">
      <c r="A50" s="543"/>
      <c r="B50" s="203" t="s">
        <v>73</v>
      </c>
      <c r="C50" s="176">
        <f>'ISS P15 PB BAN'!G62</f>
        <v>0</v>
      </c>
      <c r="D50" s="96">
        <f>'ISS P15 PB BAN'!H62</f>
        <v>0</v>
      </c>
      <c r="E50" s="96">
        <f>'ISS P15 PB PAR'!G62</f>
        <v>0</v>
      </c>
      <c r="F50" s="96">
        <f>'ISS P15 PB PAR'!H62</f>
        <v>0</v>
      </c>
      <c r="G50" s="96">
        <f>'IVR P15 PB BAN'!G62</f>
        <v>0</v>
      </c>
      <c r="H50" s="96">
        <f>'IVR P15 PB BAN'!H62</f>
        <v>0</v>
      </c>
      <c r="I50" s="96">
        <f>'IVR P15 PB PAR'!G62</f>
        <v>0</v>
      </c>
      <c r="J50" s="96">
        <f>'IVR P15 PB PAR'!H62</f>
        <v>0</v>
      </c>
      <c r="K50" s="96">
        <f>'ROM P15 PB BAN'!G62</f>
        <v>0</v>
      </c>
      <c r="L50" s="96">
        <f>'ROM P15 PB BAN'!H62</f>
        <v>0</v>
      </c>
      <c r="M50" s="96">
        <f>'ROM P15 PB PAR'!G62</f>
        <v>0</v>
      </c>
      <c r="N50" s="96">
        <f>'ROM P15 PB PAR'!H62</f>
        <v>0</v>
      </c>
      <c r="O50" s="96">
        <f>'STO HP5 PB BAN'!G62</f>
        <v>0</v>
      </c>
      <c r="P50" s="96">
        <f>'STO HP5 PB BAN'!H62</f>
        <v>0</v>
      </c>
      <c r="Q50" s="96">
        <f>'STO P15 PB PAR '!G62</f>
        <v>1.7080698296446162E-3</v>
      </c>
      <c r="R50" s="96">
        <f>'STO P15 PB PAR '!H62</f>
        <v>2E-3</v>
      </c>
      <c r="S50" s="60">
        <f t="shared" si="0"/>
        <v>2.1350872870557703E-4</v>
      </c>
      <c r="T50" s="60">
        <f t="shared" si="1"/>
        <v>2.5000000000000001E-4</v>
      </c>
      <c r="U50" s="60">
        <f t="shared" si="2"/>
        <v>4.2701745741115406E-4</v>
      </c>
      <c r="V50" s="60">
        <f t="shared" si="7"/>
        <v>5.0000000000000001E-4</v>
      </c>
      <c r="W50" s="60">
        <f t="shared" si="3"/>
        <v>0</v>
      </c>
      <c r="X50" s="60">
        <f t="shared" si="4"/>
        <v>0</v>
      </c>
      <c r="Y50" s="232">
        <f t="shared" si="5"/>
        <v>0</v>
      </c>
      <c r="Z50" s="232">
        <f t="shared" si="6"/>
        <v>0</v>
      </c>
    </row>
    <row r="51" spans="1:26" x14ac:dyDescent="0.25">
      <c r="A51" s="549" t="s">
        <v>74</v>
      </c>
      <c r="B51" s="549"/>
      <c r="C51" s="174">
        <f>'ISS P15 PB BAN'!G63</f>
        <v>7.3371958214066391E-2</v>
      </c>
      <c r="D51" s="111">
        <f>'ISS P15 PB BAN'!H63</f>
        <v>3.5976173520533311E-2</v>
      </c>
      <c r="E51" s="111">
        <f>'ISS P15 PB PAR'!G63</f>
        <v>0.11377423812647741</v>
      </c>
      <c r="F51" s="111">
        <f>'ISS P15 PB PAR'!H63</f>
        <v>5.5715197492690854E-2</v>
      </c>
      <c r="G51" s="111">
        <f>'IVR P15 PB BAN'!G63</f>
        <v>9.3109519041085623E-2</v>
      </c>
      <c r="H51" s="111">
        <f>'IVR P15 PB BAN'!H63</f>
        <v>4.5671243392575007E-2</v>
      </c>
      <c r="I51" s="111">
        <f>'IVR P15 PB PAR'!G63</f>
        <v>0.13009416659210882</v>
      </c>
      <c r="J51" s="111">
        <f>'IVR P15 PB PAR'!H63</f>
        <v>6.3829906547245685E-2</v>
      </c>
      <c r="K51" s="111">
        <f>'ROM P15 PB BAN'!G63</f>
        <v>0.1040057783267108</v>
      </c>
      <c r="L51" s="111">
        <f>'ROM P15 PB BAN'!H63</f>
        <v>5.0988710495986335E-2</v>
      </c>
      <c r="M51" s="111">
        <f>'ROM P15 PB PAR'!G63</f>
        <v>0.12052848604257599</v>
      </c>
      <c r="N51" s="111">
        <f>'ROM P15 PB PAR'!H63</f>
        <v>5.9025343326947331E-2</v>
      </c>
      <c r="O51" s="111">
        <f>'STO HP5 PB BAN'!G63</f>
        <v>7.7673431777978932E-2</v>
      </c>
      <c r="P51" s="111">
        <f>'STO HP5 PB BAN'!H63</f>
        <v>3.8092496777414046E-2</v>
      </c>
      <c r="Q51" s="111">
        <f>'STO P15 PB PAR '!G63</f>
        <v>9.5960597778708911E-2</v>
      </c>
      <c r="R51" s="111">
        <f>'STO P15 PB PAR '!H63</f>
        <v>4.7122606662369337E-2</v>
      </c>
      <c r="S51" s="62">
        <f t="shared" si="0"/>
        <v>0.10106477198746411</v>
      </c>
      <c r="T51" s="62">
        <f t="shared" si="1"/>
        <v>4.9552709776970238E-2</v>
      </c>
      <c r="U51" s="62">
        <f t="shared" si="2"/>
        <v>0.11508937213496778</v>
      </c>
      <c r="V51" s="62">
        <f t="shared" si="7"/>
        <v>5.6423263507313304E-2</v>
      </c>
      <c r="W51" s="62">
        <f t="shared" si="3"/>
        <v>8.7040171839960434E-2</v>
      </c>
      <c r="X51" s="62">
        <f t="shared" si="4"/>
        <v>4.2682156046627173E-2</v>
      </c>
      <c r="Y51" s="232">
        <f t="shared" si="5"/>
        <v>0</v>
      </c>
      <c r="Z51" s="232">
        <f t="shared" si="6"/>
        <v>0</v>
      </c>
    </row>
    <row r="52" spans="1:26" ht="14.25" customHeight="1" x14ac:dyDescent="0.25">
      <c r="A52" s="550" t="s">
        <v>25</v>
      </c>
      <c r="B52" s="550"/>
      <c r="C52" s="174">
        <f>SUM(C6:C51)</f>
        <v>0.99999999999999967</v>
      </c>
      <c r="D52" s="174">
        <f t="shared" ref="D52:Z52" si="8">SUM(D6:D51)</f>
        <v>1.0000000000000002</v>
      </c>
      <c r="E52" s="174">
        <f t="shared" si="8"/>
        <v>1</v>
      </c>
      <c r="F52" s="174">
        <f t="shared" si="8"/>
        <v>0.99999999999999967</v>
      </c>
      <c r="G52" s="174">
        <f t="shared" si="8"/>
        <v>0.99999999999999978</v>
      </c>
      <c r="H52" s="174">
        <f t="shared" si="8"/>
        <v>1.0000000000000002</v>
      </c>
      <c r="I52" s="174">
        <f t="shared" si="8"/>
        <v>0.99999999999999989</v>
      </c>
      <c r="J52" s="174">
        <f t="shared" si="8"/>
        <v>0.99999999999999978</v>
      </c>
      <c r="K52" s="174">
        <f t="shared" si="8"/>
        <v>1</v>
      </c>
      <c r="L52" s="174">
        <f t="shared" si="8"/>
        <v>0.99999999999999978</v>
      </c>
      <c r="M52" s="174">
        <f t="shared" si="8"/>
        <v>1</v>
      </c>
      <c r="N52" s="174">
        <f t="shared" si="8"/>
        <v>0.99999999999999989</v>
      </c>
      <c r="O52" s="174">
        <f t="shared" si="8"/>
        <v>0.99999999999999967</v>
      </c>
      <c r="P52" s="174">
        <f t="shared" si="8"/>
        <v>1.0000037169469393</v>
      </c>
      <c r="Q52" s="174">
        <f t="shared" si="8"/>
        <v>1</v>
      </c>
      <c r="R52" s="174">
        <f t="shared" si="8"/>
        <v>1.0003249917636725</v>
      </c>
      <c r="S52" s="174">
        <f t="shared" si="8"/>
        <v>0.99999999999999989</v>
      </c>
      <c r="T52" s="174">
        <f t="shared" si="8"/>
        <v>1.0000410885888265</v>
      </c>
      <c r="U52" s="174">
        <f t="shared" si="8"/>
        <v>1</v>
      </c>
      <c r="V52" s="174">
        <f t="shared" si="8"/>
        <v>1.0000812479409182</v>
      </c>
      <c r="W52" s="174">
        <f t="shared" si="8"/>
        <v>0.99999999999999978</v>
      </c>
      <c r="X52" s="174">
        <f t="shared" si="8"/>
        <v>1.0000009292367351</v>
      </c>
      <c r="Y52" s="233">
        <f t="shared" si="8"/>
        <v>0</v>
      </c>
      <c r="Z52" s="233">
        <f t="shared" si="8"/>
        <v>0</v>
      </c>
    </row>
    <row r="53" spans="1:26" hidden="1" x14ac:dyDescent="0.25">
      <c r="A53" s="170"/>
      <c r="B53" s="171"/>
      <c r="C53" s="172"/>
      <c r="D53" s="172"/>
      <c r="E53" s="111">
        <f>'ISS P15 PB PAR'!G65</f>
        <v>0</v>
      </c>
      <c r="F53" s="111">
        <f>'ISS P15 PB PAR'!H65</f>
        <v>0</v>
      </c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</row>
    <row r="55" spans="1:26" x14ac:dyDescent="0.25">
      <c r="B55" s="27"/>
      <c r="C55" s="525" t="str">
        <f>C1</f>
        <v>ISS-P15-PB-BAN</v>
      </c>
      <c r="D55" s="525"/>
      <c r="E55" s="525" t="str">
        <f>E1</f>
        <v>ISS-P15-PB-PAR</v>
      </c>
      <c r="F55" s="525"/>
      <c r="G55" s="525" t="str">
        <f>G1</f>
        <v>IVR P15 PB BAN</v>
      </c>
      <c r="H55" s="525"/>
      <c r="I55" s="525" t="str">
        <f>I1</f>
        <v>IVR P15 PB PAR</v>
      </c>
      <c r="J55" s="525"/>
      <c r="K55" s="525" t="str">
        <f>K1</f>
        <v>ROM P15 PB BAN</v>
      </c>
      <c r="L55" s="525"/>
      <c r="M55" s="525" t="str">
        <f>M1</f>
        <v>ROM P15 PB PAR</v>
      </c>
      <c r="N55" s="525"/>
      <c r="O55" s="525" t="str">
        <f>O1</f>
        <v>STO-P15-PB-BAN</v>
      </c>
      <c r="P55" s="525"/>
      <c r="Q55" s="525" t="str">
        <f>Q1</f>
        <v>STO-P15-PB-PAR</v>
      </c>
      <c r="R55" s="525"/>
      <c r="S55" s="536" t="s">
        <v>76</v>
      </c>
      <c r="T55" s="537"/>
      <c r="U55" s="538" t="s">
        <v>77</v>
      </c>
      <c r="V55" s="538"/>
      <c r="W55" s="538" t="s">
        <v>78</v>
      </c>
      <c r="X55" s="538"/>
    </row>
    <row r="56" spans="1:26" x14ac:dyDescent="0.25">
      <c r="B56" s="27"/>
      <c r="C56" s="29" t="s">
        <v>80</v>
      </c>
      <c r="D56" s="29" t="s">
        <v>81</v>
      </c>
      <c r="E56" s="29" t="s">
        <v>80</v>
      </c>
      <c r="F56" s="29" t="s">
        <v>81</v>
      </c>
      <c r="G56" s="29" t="s">
        <v>80</v>
      </c>
      <c r="H56" s="29" t="s">
        <v>81</v>
      </c>
      <c r="I56" s="29" t="s">
        <v>80</v>
      </c>
      <c r="J56" s="29" t="s">
        <v>81</v>
      </c>
      <c r="K56" s="29" t="s">
        <v>80</v>
      </c>
      <c r="L56" s="29" t="s">
        <v>81</v>
      </c>
      <c r="M56" s="29" t="s">
        <v>80</v>
      </c>
      <c r="N56" s="29" t="s">
        <v>81</v>
      </c>
      <c r="O56" s="29" t="s">
        <v>80</v>
      </c>
      <c r="P56" s="29" t="s">
        <v>81</v>
      </c>
      <c r="Q56" s="29" t="s">
        <v>80</v>
      </c>
      <c r="R56" s="29" t="s">
        <v>81</v>
      </c>
      <c r="S56" s="29" t="s">
        <v>80</v>
      </c>
      <c r="T56" s="29" t="s">
        <v>81</v>
      </c>
      <c r="U56" s="29" t="s">
        <v>80</v>
      </c>
      <c r="V56" s="29" t="s">
        <v>81</v>
      </c>
      <c r="W56" s="29" t="s">
        <v>80</v>
      </c>
      <c r="X56" s="29" t="s">
        <v>81</v>
      </c>
      <c r="Y56" s="69" t="s">
        <v>100</v>
      </c>
    </row>
    <row r="57" spans="1:26" x14ac:dyDescent="0.25">
      <c r="A57" s="39">
        <f>AVERAGE(F57,H57,J57,L57,N57,P57,R57)</f>
        <v>0.2627915908221472</v>
      </c>
      <c r="B57" s="30" t="s">
        <v>82</v>
      </c>
      <c r="C57" s="31">
        <f>SUM(C6:C10)</f>
        <v>6.5874667724434996E-2</v>
      </c>
      <c r="D57" s="31">
        <f t="shared" ref="D57:X57" si="9">SUM(D6:D10)</f>
        <v>0.14605298595874291</v>
      </c>
      <c r="E57" s="31">
        <f t="shared" si="9"/>
        <v>0.19333245488124717</v>
      </c>
      <c r="F57" s="31">
        <f t="shared" si="9"/>
        <v>0.37040068160793366</v>
      </c>
      <c r="G57" s="31">
        <f t="shared" si="9"/>
        <v>9.8764537558509113E-2</v>
      </c>
      <c r="H57" s="31">
        <f t="shared" si="9"/>
        <v>0.21204755305071962</v>
      </c>
      <c r="I57" s="31">
        <f t="shared" si="9"/>
        <v>7.892452563987859E-2</v>
      </c>
      <c r="J57" s="31">
        <f t="shared" si="9"/>
        <v>0.17541185267418524</v>
      </c>
      <c r="K57" s="31">
        <f t="shared" si="9"/>
        <v>0.14538173596462234</v>
      </c>
      <c r="L57" s="31">
        <f t="shared" si="9"/>
        <v>0.29443661882704286</v>
      </c>
      <c r="M57" s="31">
        <f t="shared" si="9"/>
        <v>0.29507467071003191</v>
      </c>
      <c r="N57" s="195">
        <f t="shared" si="9"/>
        <v>0.50863335052210012</v>
      </c>
      <c r="O57" s="31">
        <f t="shared" si="9"/>
        <v>8.2803376195800749E-2</v>
      </c>
      <c r="P57" s="31">
        <f t="shared" si="9"/>
        <v>0.1810545472100791</v>
      </c>
      <c r="Q57" s="31">
        <f t="shared" si="9"/>
        <v>4.1485289048517074E-2</v>
      </c>
      <c r="R57" s="195">
        <f t="shared" si="9"/>
        <v>9.7556531862969947E-2</v>
      </c>
      <c r="S57" s="31">
        <f t="shared" si="9"/>
        <v>0.12520515721538023</v>
      </c>
      <c r="T57" s="31">
        <f>SUM(T6:T10)</f>
        <v>0.24819926521422173</v>
      </c>
      <c r="U57" s="31">
        <f t="shared" si="9"/>
        <v>0.15220423506991868</v>
      </c>
      <c r="V57" s="31">
        <f>SUM(V6:V10)</f>
        <v>0.28800060416679729</v>
      </c>
      <c r="W57" s="31">
        <f t="shared" si="9"/>
        <v>9.8206079360841803E-2</v>
      </c>
      <c r="X57" s="31">
        <f t="shared" si="9"/>
        <v>0.20839792626164613</v>
      </c>
      <c r="Y57" s="34">
        <v>0.30930000000000002</v>
      </c>
      <c r="Z57" s="39"/>
    </row>
    <row r="58" spans="1:26" x14ac:dyDescent="0.25">
      <c r="B58" s="30" t="s">
        <v>31</v>
      </c>
      <c r="C58" s="31">
        <f>SUM(C11:C15)</f>
        <v>0.14210545929965734</v>
      </c>
      <c r="D58" s="31">
        <f t="shared" ref="D58:X58" si="10">SUM(D11:D15)</f>
        <v>0.12894116346925472</v>
      </c>
      <c r="E58" s="31">
        <f t="shared" si="10"/>
        <v>6.1195598298553991E-2</v>
      </c>
      <c r="F58" s="195">
        <f t="shared" si="10"/>
        <v>4.8051794391281072E-2</v>
      </c>
      <c r="G58" s="31">
        <f t="shared" si="10"/>
        <v>0.10867857427615525</v>
      </c>
      <c r="H58" s="31">
        <f t="shared" si="10"/>
        <v>9.5402434159191751E-2</v>
      </c>
      <c r="I58" s="31">
        <f t="shared" si="10"/>
        <v>0.11405956428379709</v>
      </c>
      <c r="J58" s="195">
        <f t="shared" si="10"/>
        <v>0.10372786498144217</v>
      </c>
      <c r="K58" s="31">
        <f t="shared" si="10"/>
        <v>0.13112668396711766</v>
      </c>
      <c r="L58" s="31">
        <f t="shared" si="10"/>
        <v>0.10876510001299364</v>
      </c>
      <c r="M58" s="31">
        <f t="shared" si="10"/>
        <v>9.180704206267018E-2</v>
      </c>
      <c r="N58" s="31">
        <f t="shared" si="10"/>
        <v>6.495627754388085E-2</v>
      </c>
      <c r="O58" s="31">
        <f t="shared" si="10"/>
        <v>0.20385971120340296</v>
      </c>
      <c r="P58" s="31">
        <f t="shared" si="10"/>
        <v>0.18267980439228027</v>
      </c>
      <c r="Q58" s="31">
        <f t="shared" si="10"/>
        <v>0.36743851834660213</v>
      </c>
      <c r="R58" s="31">
        <f t="shared" si="10"/>
        <v>0.35360205318966159</v>
      </c>
      <c r="S58" s="31">
        <f t="shared" si="10"/>
        <v>0.15253389396724459</v>
      </c>
      <c r="T58" s="31">
        <f t="shared" si="10"/>
        <v>0.13576581151749825</v>
      </c>
      <c r="U58" s="31">
        <f t="shared" si="10"/>
        <v>0.15862518074790585</v>
      </c>
      <c r="V58" s="31">
        <f t="shared" si="10"/>
        <v>0.14258449752656641</v>
      </c>
      <c r="W58" s="31">
        <f t="shared" si="10"/>
        <v>0.14644260718658331</v>
      </c>
      <c r="X58" s="31">
        <f t="shared" si="10"/>
        <v>0.1289471255084301</v>
      </c>
      <c r="Y58" s="42">
        <v>0.1033</v>
      </c>
      <c r="Z58" s="39">
        <f>AVERAGE(F58,N58,R58)</f>
        <v>0.15553670837494118</v>
      </c>
    </row>
    <row r="59" spans="1:26" x14ac:dyDescent="0.25">
      <c r="B59" s="30" t="s">
        <v>37</v>
      </c>
      <c r="C59" s="31">
        <f>SUM(C16:C18)</f>
        <v>6.2946405553079593E-2</v>
      </c>
      <c r="D59" s="31">
        <f t="shared" ref="D59:X59" si="11">SUM(D16:D18)</f>
        <v>5.7122899136496791E-2</v>
      </c>
      <c r="E59" s="31">
        <f t="shared" si="11"/>
        <v>0.10994828230573978</v>
      </c>
      <c r="F59" s="31">
        <f t="shared" si="11"/>
        <v>8.6342594128149097E-2</v>
      </c>
      <c r="G59" s="31">
        <f t="shared" si="11"/>
        <v>7.3100133144136478E-2</v>
      </c>
      <c r="H59" s="31">
        <f t="shared" si="11"/>
        <v>6.4179952735595264E-2</v>
      </c>
      <c r="I59" s="31">
        <f t="shared" si="11"/>
        <v>9.1126566575591345E-2</v>
      </c>
      <c r="J59" s="31">
        <f t="shared" si="11"/>
        <v>8.2883580402690671E-2</v>
      </c>
      <c r="K59" s="31">
        <f t="shared" si="11"/>
        <v>7.3908019069298642E-2</v>
      </c>
      <c r="L59" s="31">
        <f t="shared" si="11"/>
        <v>6.1311607458771358E-2</v>
      </c>
      <c r="M59" s="31">
        <f t="shared" si="11"/>
        <v>7.2244493041316887E-2</v>
      </c>
      <c r="N59" s="31">
        <f t="shared" si="11"/>
        <v>5.1119378403398343E-2</v>
      </c>
      <c r="O59" s="31">
        <f t="shared" si="11"/>
        <v>0.11108162282803544</v>
      </c>
      <c r="P59" s="31">
        <f t="shared" si="11"/>
        <v>9.9551774658008366E-2</v>
      </c>
      <c r="Q59" s="31">
        <f t="shared" si="11"/>
        <v>9.9913510386470811E-2</v>
      </c>
      <c r="R59" s="31">
        <f t="shared" si="11"/>
        <v>9.6164144194307827E-2</v>
      </c>
      <c r="S59" s="31">
        <f t="shared" si="11"/>
        <v>8.6783629112958602E-2</v>
      </c>
      <c r="T59" s="31">
        <f t="shared" si="11"/>
        <v>7.483449138967721E-2</v>
      </c>
      <c r="U59" s="31">
        <f t="shared" si="11"/>
        <v>9.3308213077279711E-2</v>
      </c>
      <c r="V59" s="31">
        <f t="shared" si="11"/>
        <v>7.9127424282136483E-2</v>
      </c>
      <c r="W59" s="31">
        <f t="shared" si="11"/>
        <v>8.0259045148637534E-2</v>
      </c>
      <c r="X59" s="31">
        <f t="shared" si="11"/>
        <v>7.0541558497217952E-2</v>
      </c>
      <c r="Y59" s="34">
        <v>5.6899999999999999E-2</v>
      </c>
      <c r="Z59" s="39"/>
    </row>
    <row r="60" spans="1:26" x14ac:dyDescent="0.25">
      <c r="B60" s="30" t="s">
        <v>83</v>
      </c>
      <c r="C60" s="31">
        <f>SUM(C19:C22)</f>
        <v>2.2484724385491227E-2</v>
      </c>
      <c r="D60" s="31">
        <f t="shared" ref="D60:X60" si="12">SUM(D19:D22)</f>
        <v>2.5680859278542766E-2</v>
      </c>
      <c r="E60" s="31">
        <f t="shared" si="12"/>
        <v>1.6806257705017359E-2</v>
      </c>
      <c r="F60" s="31">
        <f t="shared" si="12"/>
        <v>1.6613727651659724E-2</v>
      </c>
      <c r="G60" s="31">
        <f t="shared" si="12"/>
        <v>2.1458613137811663E-2</v>
      </c>
      <c r="H60" s="31">
        <f t="shared" si="12"/>
        <v>2.3709170909003315E-2</v>
      </c>
      <c r="I60" s="31">
        <f t="shared" si="12"/>
        <v>2.1662359515763837E-2</v>
      </c>
      <c r="J60" s="31">
        <f t="shared" si="12"/>
        <v>2.4797231596587171E-2</v>
      </c>
      <c r="K60" s="31">
        <f t="shared" si="12"/>
        <v>2.4625066440757411E-2</v>
      </c>
      <c r="L60" s="31">
        <f t="shared" si="12"/>
        <v>2.5712892682354018E-2</v>
      </c>
      <c r="M60" s="31">
        <f t="shared" si="12"/>
        <v>1.7620240168776877E-2</v>
      </c>
      <c r="N60" s="31">
        <f t="shared" si="12"/>
        <v>1.5697505741409493E-2</v>
      </c>
      <c r="O60" s="31">
        <f t="shared" si="12"/>
        <v>1.2996567896633129E-2</v>
      </c>
      <c r="P60" s="195">
        <f t="shared" si="12"/>
        <v>1.4661955888304618E-2</v>
      </c>
      <c r="Q60" s="31">
        <f t="shared" si="12"/>
        <v>2.0961012220016319E-2</v>
      </c>
      <c r="R60" s="31">
        <f t="shared" si="12"/>
        <v>2.5391089788077831E-2</v>
      </c>
      <c r="S60" s="31">
        <f t="shared" si="12"/>
        <v>1.9826855183783475E-2</v>
      </c>
      <c r="T60" s="31">
        <f t="shared" si="12"/>
        <v>2.1533054191992366E-2</v>
      </c>
      <c r="U60" s="31">
        <f t="shared" si="12"/>
        <v>1.9262467402393599E-2</v>
      </c>
      <c r="V60" s="31">
        <f t="shared" si="12"/>
        <v>2.0624888694433557E-2</v>
      </c>
      <c r="W60" s="31">
        <f t="shared" si="12"/>
        <v>2.0391242965173355E-2</v>
      </c>
      <c r="X60" s="31">
        <f t="shared" si="12"/>
        <v>2.2441219689551178E-2</v>
      </c>
      <c r="Y60" s="42">
        <v>1.6899999999999998E-2</v>
      </c>
      <c r="Z60" s="39"/>
    </row>
    <row r="61" spans="1:26" x14ac:dyDescent="0.25">
      <c r="B61" s="30" t="s">
        <v>46</v>
      </c>
      <c r="C61" s="31">
        <f>C23</f>
        <v>1.0392880279716429E-2</v>
      </c>
      <c r="D61" s="31">
        <f t="shared" ref="D61:X61" si="13">D23</f>
        <v>9.4227435757513259E-3</v>
      </c>
      <c r="E61" s="31">
        <f t="shared" si="13"/>
        <v>1.5065140660967992E-2</v>
      </c>
      <c r="F61" s="31">
        <f t="shared" si="13"/>
        <v>1.1821936796643406E-2</v>
      </c>
      <c r="G61" s="31">
        <f t="shared" si="13"/>
        <v>5.108442594378694E-2</v>
      </c>
      <c r="H61" s="31">
        <f t="shared" si="13"/>
        <v>4.4804615907116166E-2</v>
      </c>
      <c r="I61" s="31">
        <f t="shared" si="13"/>
        <v>1.7987445027907587E-2</v>
      </c>
      <c r="J61" s="31">
        <f t="shared" si="13"/>
        <v>1.6345055311315148E-2</v>
      </c>
      <c r="K61" s="31">
        <f t="shared" si="13"/>
        <v>4.3593341796383717E-2</v>
      </c>
      <c r="L61" s="31">
        <f t="shared" si="13"/>
        <v>3.6133755959963536E-2</v>
      </c>
      <c r="M61" s="31">
        <f t="shared" si="13"/>
        <v>3.1581373221013224E-2</v>
      </c>
      <c r="N61" s="31">
        <f t="shared" si="13"/>
        <v>2.2334133994287488E-2</v>
      </c>
      <c r="O61" s="31">
        <f t="shared" si="13"/>
        <v>3.6074615894314002E-2</v>
      </c>
      <c r="P61" s="31">
        <f t="shared" si="13"/>
        <v>3.2306084287571459E-2</v>
      </c>
      <c r="Q61" s="31">
        <f t="shared" si="13"/>
        <v>4.2015773921980984E-3</v>
      </c>
      <c r="R61" s="31">
        <f t="shared" si="13"/>
        <v>4.0401819700657069E-3</v>
      </c>
      <c r="S61" s="31">
        <f t="shared" si="13"/>
        <v>2.6247600027035998E-2</v>
      </c>
      <c r="T61" s="31">
        <f t="shared" si="13"/>
        <v>2.2151063475339277E-2</v>
      </c>
      <c r="U61" s="31">
        <f t="shared" si="13"/>
        <v>1.7208884075521722E-2</v>
      </c>
      <c r="V61" s="31">
        <f t="shared" si="13"/>
        <v>1.3635327018077936E-2</v>
      </c>
      <c r="W61" s="31">
        <f>W23</f>
        <v>3.5286315978550267E-2</v>
      </c>
      <c r="X61" s="31">
        <f t="shared" si="13"/>
        <v>3.0666799932600623E-2</v>
      </c>
      <c r="Y61" s="34">
        <v>2.3199999999999998E-2</v>
      </c>
      <c r="Z61" s="39"/>
    </row>
    <row r="62" spans="1:26" x14ac:dyDescent="0.25">
      <c r="B62" s="30" t="s">
        <v>47</v>
      </c>
      <c r="C62" s="31">
        <f>SUM(C24:C25)</f>
        <v>0.24861231718143528</v>
      </c>
      <c r="D62" s="31">
        <f t="shared" ref="D62:X62" si="14">SUM(D24:D25)</f>
        <v>0.2319256925702663</v>
      </c>
      <c r="E62" s="31">
        <f t="shared" si="14"/>
        <v>0.19314207149318249</v>
      </c>
      <c r="F62" s="31">
        <f t="shared" si="14"/>
        <v>0.15571698226306066</v>
      </c>
      <c r="G62" s="31">
        <f t="shared" si="14"/>
        <v>0.13409924403603363</v>
      </c>
      <c r="H62" s="31">
        <f t="shared" si="14"/>
        <v>0.12113113406682144</v>
      </c>
      <c r="I62" s="31">
        <f t="shared" si="14"/>
        <v>0.11224974363562533</v>
      </c>
      <c r="J62" s="31">
        <f t="shared" si="14"/>
        <v>0.10496873330481089</v>
      </c>
      <c r="K62" s="31">
        <f t="shared" si="14"/>
        <v>9.4358823935133798E-2</v>
      </c>
      <c r="L62" s="31">
        <f t="shared" si="14"/>
        <v>8.0413437281105893E-2</v>
      </c>
      <c r="M62" s="31">
        <f t="shared" si="14"/>
        <v>5.3257094929077917E-2</v>
      </c>
      <c r="N62" s="31">
        <f t="shared" si="14"/>
        <v>3.8636865139158511E-2</v>
      </c>
      <c r="O62" s="31">
        <f t="shared" si="14"/>
        <v>0.14032262954877561</v>
      </c>
      <c r="P62" s="31">
        <f t="shared" si="14"/>
        <v>0.12911566416946083</v>
      </c>
      <c r="Q62" s="31">
        <f t="shared" si="14"/>
        <v>6.5843576702796419E-2</v>
      </c>
      <c r="R62" s="31">
        <f t="shared" si="14"/>
        <v>6.5149029754731386E-2</v>
      </c>
      <c r="S62" s="31">
        <f t="shared" si="14"/>
        <v>0.13023568768275756</v>
      </c>
      <c r="T62" s="31">
        <f t="shared" si="14"/>
        <v>0.115882192318677</v>
      </c>
      <c r="U62" s="31">
        <f t="shared" si="14"/>
        <v>0.10612312169017053</v>
      </c>
      <c r="V62" s="31">
        <f t="shared" si="14"/>
        <v>9.1117902615440366E-2</v>
      </c>
      <c r="W62" s="31">
        <f t="shared" si="14"/>
        <v>0.15434825367534458</v>
      </c>
      <c r="X62" s="31">
        <f t="shared" si="14"/>
        <v>0.1406464820219136</v>
      </c>
      <c r="Y62" s="42">
        <v>0.105</v>
      </c>
      <c r="Z62" s="39"/>
    </row>
    <row r="63" spans="1:26" x14ac:dyDescent="0.25">
      <c r="B63" s="30" t="s">
        <v>50</v>
      </c>
      <c r="C63" s="31">
        <f>SUM(C26:C30)</f>
        <v>0.20955759043230157</v>
      </c>
      <c r="D63" s="31">
        <f t="shared" ref="D63:X63" si="15">SUM(D26:D30)</f>
        <v>0.21436659405416794</v>
      </c>
      <c r="E63" s="31">
        <f t="shared" si="15"/>
        <v>0.20272360786836721</v>
      </c>
      <c r="F63" s="31">
        <f t="shared" si="15"/>
        <v>0.1794755316175532</v>
      </c>
      <c r="G63" s="31">
        <f t="shared" si="15"/>
        <v>0.18891646909442419</v>
      </c>
      <c r="H63" s="195">
        <f t="shared" si="15"/>
        <v>0.18695345315664413</v>
      </c>
      <c r="I63" s="31">
        <f t="shared" si="15"/>
        <v>0.22054971232131915</v>
      </c>
      <c r="J63" s="31">
        <f t="shared" si="15"/>
        <v>0.22611986751277768</v>
      </c>
      <c r="K63" s="31">
        <f t="shared" si="15"/>
        <v>0.13731218066450243</v>
      </c>
      <c r="L63" s="195">
        <f t="shared" si="15"/>
        <v>0.12841046358544048</v>
      </c>
      <c r="M63" s="31">
        <f t="shared" si="15"/>
        <v>0.12259022648977934</v>
      </c>
      <c r="N63" s="31">
        <f t="shared" si="15"/>
        <v>9.7802962865692594E-2</v>
      </c>
      <c r="O63" s="31">
        <f t="shared" si="15"/>
        <v>0.17726201938720573</v>
      </c>
      <c r="P63" s="195">
        <f t="shared" si="15"/>
        <v>0.17909556042178543</v>
      </c>
      <c r="Q63" s="31">
        <f t="shared" si="15"/>
        <v>0.13343523825802031</v>
      </c>
      <c r="R63" s="31">
        <f t="shared" si="15"/>
        <v>0.14476788983557978</v>
      </c>
      <c r="S63" s="31">
        <f t="shared" si="15"/>
        <v>0.17404338056449001</v>
      </c>
      <c r="T63" s="31">
        <f t="shared" si="15"/>
        <v>0.16962404038120515</v>
      </c>
      <c r="U63" s="31">
        <f t="shared" si="15"/>
        <v>0.16982469623437149</v>
      </c>
      <c r="V63" s="31">
        <f t="shared" si="15"/>
        <v>0.16204156295790081</v>
      </c>
      <c r="W63" s="31">
        <f t="shared" si="15"/>
        <v>0.1782620648946085</v>
      </c>
      <c r="X63" s="31">
        <f t="shared" si="15"/>
        <v>0.17720651780450947</v>
      </c>
      <c r="Y63" s="34">
        <v>0.1143</v>
      </c>
      <c r="Z63" s="39"/>
    </row>
    <row r="64" spans="1:26" x14ac:dyDescent="0.25">
      <c r="B64" s="30" t="s">
        <v>56</v>
      </c>
      <c r="C64" s="31">
        <f>C31</f>
        <v>1.067876361583202E-2</v>
      </c>
      <c r="D64" s="31">
        <f t="shared" ref="D64:X64" si="16">D31</f>
        <v>9.8874500529037655E-3</v>
      </c>
      <c r="E64" s="31">
        <f t="shared" si="16"/>
        <v>1.8872808422260981E-2</v>
      </c>
      <c r="F64" s="31">
        <f t="shared" si="16"/>
        <v>1.5123755257389642E-2</v>
      </c>
      <c r="G64" s="31">
        <f t="shared" si="16"/>
        <v>7.7594987190605869E-2</v>
      </c>
      <c r="H64" s="31">
        <f t="shared" si="16"/>
        <v>6.9502255549022063E-2</v>
      </c>
      <c r="I64" s="31">
        <f t="shared" si="16"/>
        <v>2.8145238160783476E-2</v>
      </c>
      <c r="J64" s="31">
        <f t="shared" si="16"/>
        <v>2.6118326220965039E-2</v>
      </c>
      <c r="K64" s="31">
        <f t="shared" si="16"/>
        <v>4.046418404083392E-2</v>
      </c>
      <c r="L64" s="31">
        <f t="shared" si="16"/>
        <v>3.4251394541989007E-2</v>
      </c>
      <c r="M64" s="31">
        <f t="shared" si="16"/>
        <v>3.9403029952355936E-2</v>
      </c>
      <c r="N64" s="31">
        <f t="shared" si="16"/>
        <v>2.8455147455779383E-2</v>
      </c>
      <c r="O64" s="31">
        <f t="shared" si="16"/>
        <v>2.5325720734311868E-2</v>
      </c>
      <c r="P64" s="31">
        <f t="shared" si="16"/>
        <v>2.3160751130252785E-2</v>
      </c>
      <c r="Q64" s="31">
        <f t="shared" si="16"/>
        <v>8.4511728117356074E-3</v>
      </c>
      <c r="R64" s="31">
        <f t="shared" si="16"/>
        <v>8.2990406694630446E-3</v>
      </c>
      <c r="S64" s="31">
        <f t="shared" si="16"/>
        <v>3.1116988116089962E-2</v>
      </c>
      <c r="T64" s="31">
        <f t="shared" si="16"/>
        <v>2.6849765109720591E-2</v>
      </c>
      <c r="U64" s="31">
        <f t="shared" si="16"/>
        <v>2.3718062336783998E-2</v>
      </c>
      <c r="V64" s="31">
        <f t="shared" si="16"/>
        <v>1.9499067400899277E-2</v>
      </c>
      <c r="W64" s="31">
        <f t="shared" si="16"/>
        <v>3.8515913895395916E-2</v>
      </c>
      <c r="X64" s="31">
        <f t="shared" si="16"/>
        <v>3.4200462818541909E-2</v>
      </c>
      <c r="Y64" s="42">
        <v>2.4400000000000002E-2</v>
      </c>
      <c r="Z64" s="39"/>
    </row>
    <row r="65" spans="1:26" x14ac:dyDescent="0.25">
      <c r="B65" s="30" t="s">
        <v>57</v>
      </c>
      <c r="C65" s="31">
        <f>SUM(C32:C33)</f>
        <v>0.1134589280089604</v>
      </c>
      <c r="D65" s="195">
        <f t="shared" ref="D65:X65" si="17">SUM(D32:D33)</f>
        <v>0.10273938370634643</v>
      </c>
      <c r="E65" s="31">
        <f t="shared" si="17"/>
        <v>2.6144422212208081E-2</v>
      </c>
      <c r="F65" s="195">
        <f t="shared" si="17"/>
        <v>2.0495384347936355E-2</v>
      </c>
      <c r="G65" s="31">
        <f t="shared" si="17"/>
        <v>6.8565208851572565E-2</v>
      </c>
      <c r="H65" s="31">
        <f t="shared" si="17"/>
        <v>6.0052034540874585E-2</v>
      </c>
      <c r="I65" s="31">
        <f t="shared" si="17"/>
        <v>8.6860637573038024E-2</v>
      </c>
      <c r="J65" s="31">
        <f t="shared" si="17"/>
        <v>7.8828785666912288E-2</v>
      </c>
      <c r="K65" s="31">
        <f t="shared" si="17"/>
        <v>7.1323463990968422E-2</v>
      </c>
      <c r="L65" s="31">
        <f t="shared" si="17"/>
        <v>5.905224377891366E-2</v>
      </c>
      <c r="M65" s="31">
        <f t="shared" si="17"/>
        <v>9.3834164656358451E-2</v>
      </c>
      <c r="N65" s="195">
        <f t="shared" si="17"/>
        <v>6.6308298649428818E-2</v>
      </c>
      <c r="O65" s="31">
        <f t="shared" si="17"/>
        <v>7.1549297753639898E-2</v>
      </c>
      <c r="P65" s="31">
        <f t="shared" si="17"/>
        <v>6.4009654554809281E-2</v>
      </c>
      <c r="Q65" s="31">
        <f t="shared" si="17"/>
        <v>0.14127303793481322</v>
      </c>
      <c r="R65" s="195">
        <f>SUM(R32:R33)</f>
        <v>0.13567543019590206</v>
      </c>
      <c r="S65" s="31">
        <f t="shared" si="17"/>
        <v>8.4126145122694881E-2</v>
      </c>
      <c r="T65" s="31">
        <f t="shared" si="17"/>
        <v>7.3395151930140429E-2</v>
      </c>
      <c r="U65" s="31">
        <f t="shared" si="17"/>
        <v>8.7028065594104448E-2</v>
      </c>
      <c r="V65" s="31">
        <f t="shared" si="17"/>
        <v>7.5326974715044875E-2</v>
      </c>
      <c r="W65" s="31">
        <f t="shared" si="17"/>
        <v>8.1224224651285315E-2</v>
      </c>
      <c r="X65" s="31">
        <f t="shared" si="17"/>
        <v>7.1463329145235982E-2</v>
      </c>
      <c r="Y65" s="34">
        <v>5.7500000000000002E-2</v>
      </c>
      <c r="Z65" s="39"/>
    </row>
    <row r="66" spans="1:26" x14ac:dyDescent="0.25">
      <c r="B66" s="177" t="s">
        <v>60</v>
      </c>
      <c r="C66" s="31">
        <f>SUM(C34:C39)</f>
        <v>4.0516305305024779E-2</v>
      </c>
      <c r="D66" s="31">
        <f t="shared" ref="D66:X66" si="18">SUM(D34:D39)</f>
        <v>3.7884054676993892E-2</v>
      </c>
      <c r="E66" s="31">
        <f t="shared" si="18"/>
        <v>3.3320375383521714E-2</v>
      </c>
      <c r="F66" s="31">
        <f t="shared" si="18"/>
        <v>2.696872255007449E-2</v>
      </c>
      <c r="G66" s="31">
        <f t="shared" si="18"/>
        <v>5.8766797241889823E-2</v>
      </c>
      <c r="H66" s="31">
        <f t="shared" si="18"/>
        <v>5.3151981953915309E-2</v>
      </c>
      <c r="I66" s="31">
        <f t="shared" si="18"/>
        <v>4.5496073667765549E-2</v>
      </c>
      <c r="J66" s="31">
        <f t="shared" si="18"/>
        <v>4.2635398609429852E-2</v>
      </c>
      <c r="K66" s="31">
        <f t="shared" si="18"/>
        <v>5.6736112054821278E-2</v>
      </c>
      <c r="L66" s="31">
        <f t="shared" si="18"/>
        <v>4.850242974013555E-2</v>
      </c>
      <c r="M66" s="31">
        <f t="shared" si="18"/>
        <v>3.7693155259094863E-2</v>
      </c>
      <c r="N66" s="31">
        <f t="shared" si="18"/>
        <v>2.7497088072731674E-2</v>
      </c>
      <c r="O66" s="31">
        <f t="shared" si="18"/>
        <v>4.9341801185003795E-2</v>
      </c>
      <c r="P66" s="31">
        <f t="shared" si="18"/>
        <v>4.557542345697313E-2</v>
      </c>
      <c r="Q66" s="31">
        <f t="shared" si="18"/>
        <v>6.0908581107307182E-3</v>
      </c>
      <c r="R66" s="31">
        <f t="shared" si="18"/>
        <v>6.0401894651027207E-3</v>
      </c>
      <c r="S66" s="31">
        <f t="shared" si="18"/>
        <v>4.0995184775981561E-2</v>
      </c>
      <c r="T66" s="31">
        <f t="shared" si="18"/>
        <v>3.6031911065669581E-2</v>
      </c>
      <c r="U66" s="31">
        <f t="shared" si="18"/>
        <v>3.0650115605278215E-2</v>
      </c>
      <c r="V66" s="31">
        <f t="shared" si="18"/>
        <v>2.5785349674334681E-2</v>
      </c>
      <c r="W66" s="31">
        <f t="shared" si="18"/>
        <v>5.1340253946684913E-2</v>
      </c>
      <c r="X66" s="31">
        <f t="shared" si="18"/>
        <v>4.627847245700447E-2</v>
      </c>
      <c r="Y66" s="42">
        <v>2.87E-2</v>
      </c>
      <c r="Z66" s="39"/>
    </row>
    <row r="67" spans="1:26" x14ac:dyDescent="0.25">
      <c r="B67" s="30" t="s">
        <v>67</v>
      </c>
      <c r="C67" s="31">
        <f>C40</f>
        <v>0</v>
      </c>
      <c r="D67" s="31">
        <f t="shared" ref="D67:X67" si="19">D40</f>
        <v>0</v>
      </c>
      <c r="E67" s="31">
        <f t="shared" si="19"/>
        <v>7.6823917405496487E-3</v>
      </c>
      <c r="F67" s="31">
        <f t="shared" si="19"/>
        <v>6.8760967898570833E-3</v>
      </c>
      <c r="G67" s="31">
        <f t="shared" si="19"/>
        <v>2.508891981348346E-3</v>
      </c>
      <c r="H67" s="31">
        <f t="shared" si="19"/>
        <v>2.5093370714540037E-3</v>
      </c>
      <c r="I67" s="31">
        <f t="shared" si="19"/>
        <v>4.8929678735865553E-2</v>
      </c>
      <c r="J67" s="31">
        <f t="shared" si="19"/>
        <v>5.0706089774172763E-2</v>
      </c>
      <c r="K67" s="31">
        <f t="shared" si="19"/>
        <v>6.7889185149782399E-2</v>
      </c>
      <c r="L67" s="31">
        <f t="shared" si="19"/>
        <v>6.4179741168242502E-2</v>
      </c>
      <c r="M67" s="31">
        <f t="shared" si="19"/>
        <v>2.292295351613538E-2</v>
      </c>
      <c r="N67" s="31">
        <f t="shared" si="19"/>
        <v>1.8492397619960493E-2</v>
      </c>
      <c r="O67" s="31">
        <f t="shared" si="19"/>
        <v>0</v>
      </c>
      <c r="P67" s="31">
        <f t="shared" si="19"/>
        <v>0</v>
      </c>
      <c r="Q67" s="31">
        <f t="shared" si="19"/>
        <v>1.3237541179745765E-2</v>
      </c>
      <c r="R67" s="31">
        <f t="shared" si="19"/>
        <v>1.4516804175441373E-2</v>
      </c>
      <c r="S67" s="31">
        <f t="shared" si="19"/>
        <v>2.0396330287928387E-2</v>
      </c>
      <c r="T67" s="31">
        <f t="shared" si="19"/>
        <v>1.9660058324891028E-2</v>
      </c>
      <c r="U67" s="31">
        <f t="shared" si="19"/>
        <v>2.3193141293074086E-2</v>
      </c>
      <c r="V67" s="31">
        <f t="shared" si="19"/>
        <v>2.2647847089857929E-2</v>
      </c>
      <c r="W67" s="31">
        <f t="shared" si="19"/>
        <v>1.7599519282782687E-2</v>
      </c>
      <c r="X67" s="31">
        <f t="shared" si="19"/>
        <v>1.6672269559924128E-2</v>
      </c>
      <c r="Y67" s="34">
        <v>2.5700000000000001E-2</v>
      </c>
      <c r="Z67" s="39"/>
    </row>
    <row r="68" spans="1:26" x14ac:dyDescent="0.25">
      <c r="A68" s="39">
        <f>AVERAGE(D68,F68,H68,J68,L68,N68,R68)</f>
        <v>5.9703701632270248E-3</v>
      </c>
      <c r="B68" s="30" t="s">
        <v>69</v>
      </c>
      <c r="C68" s="31">
        <f>SUM(C41:C50)</f>
        <v>0</v>
      </c>
      <c r="D68" s="31">
        <f t="shared" ref="D68:X68" si="20">SUM(D41:D50)</f>
        <v>0</v>
      </c>
      <c r="E68" s="31">
        <f t="shared" si="20"/>
        <v>7.9923509019061353E-3</v>
      </c>
      <c r="F68" s="31">
        <f t="shared" si="20"/>
        <v>6.3975951057706299E-3</v>
      </c>
      <c r="G68" s="31">
        <f t="shared" si="20"/>
        <v>2.3352598502640435E-2</v>
      </c>
      <c r="H68" s="195">
        <f t="shared" si="20"/>
        <v>2.0884833507067463E-2</v>
      </c>
      <c r="I68" s="31">
        <f t="shared" si="20"/>
        <v>3.9142882705556076E-3</v>
      </c>
      <c r="J68" s="31">
        <f t="shared" si="20"/>
        <v>3.6273073974652159E-3</v>
      </c>
      <c r="K68" s="31">
        <f t="shared" si="20"/>
        <v>9.2754245990670642E-3</v>
      </c>
      <c r="L68" s="31">
        <f t="shared" si="20"/>
        <v>7.8416044670609666E-3</v>
      </c>
      <c r="M68" s="31">
        <f t="shared" si="20"/>
        <v>1.4430699508129765E-3</v>
      </c>
      <c r="N68" s="31">
        <f t="shared" si="20"/>
        <v>1.0412506652248937E-3</v>
      </c>
      <c r="O68" s="31">
        <f t="shared" si="20"/>
        <v>1.1709205594897916E-2</v>
      </c>
      <c r="P68" s="31">
        <f t="shared" si="20"/>
        <v>1.0699999999999999E-2</v>
      </c>
      <c r="Q68" s="31">
        <f t="shared" si="20"/>
        <v>1.7080698296446162E-3</v>
      </c>
      <c r="R68" s="31">
        <f t="shared" si="20"/>
        <v>2E-3</v>
      </c>
      <c r="S68" s="31">
        <f t="shared" si="20"/>
        <v>7.424375956190595E-3</v>
      </c>
      <c r="T68" s="31">
        <f t="shared" si="20"/>
        <v>6.561573892823646E-3</v>
      </c>
      <c r="U68" s="31">
        <f t="shared" si="20"/>
        <v>3.7644447382298345E-3</v>
      </c>
      <c r="V68" s="31">
        <f t="shared" si="20"/>
        <v>3.2665382921151852E-3</v>
      </c>
      <c r="W68" s="31">
        <f t="shared" si="20"/>
        <v>1.1084307174151353E-2</v>
      </c>
      <c r="X68" s="31">
        <f t="shared" si="20"/>
        <v>9.8566094935321081E-3</v>
      </c>
      <c r="Y68" s="42">
        <v>8.0999999999999996E-3</v>
      </c>
      <c r="Z68" s="39">
        <f>AVERAGE(D68,F68,J68,L68,N68,P68,R68)</f>
        <v>4.5153939479316719E-3</v>
      </c>
    </row>
    <row r="69" spans="1:26" x14ac:dyDescent="0.25">
      <c r="B69" s="28" t="s">
        <v>74</v>
      </c>
      <c r="C69" s="31">
        <f>C51</f>
        <v>7.3371958214066391E-2</v>
      </c>
      <c r="D69" s="31">
        <f t="shared" ref="D69:X69" si="21">D51</f>
        <v>3.5976173520533311E-2</v>
      </c>
      <c r="E69" s="31">
        <f t="shared" si="21"/>
        <v>0.11377423812647741</v>
      </c>
      <c r="F69" s="31">
        <f t="shared" si="21"/>
        <v>5.5715197492690854E-2</v>
      </c>
      <c r="G69" s="31">
        <f t="shared" si="21"/>
        <v>9.3109519041085623E-2</v>
      </c>
      <c r="H69" s="31">
        <f t="shared" si="21"/>
        <v>4.5671243392575007E-2</v>
      </c>
      <c r="I69" s="31">
        <f t="shared" si="21"/>
        <v>0.13009416659210882</v>
      </c>
      <c r="J69" s="31">
        <f t="shared" si="21"/>
        <v>6.3829906547245685E-2</v>
      </c>
      <c r="K69" s="31">
        <f t="shared" si="21"/>
        <v>0.1040057783267108</v>
      </c>
      <c r="L69" s="31">
        <f t="shared" si="21"/>
        <v>5.0988710495986335E-2</v>
      </c>
      <c r="M69" s="31">
        <f t="shared" si="21"/>
        <v>0.12052848604257599</v>
      </c>
      <c r="N69" s="31">
        <f t="shared" si="21"/>
        <v>5.9025343326947331E-2</v>
      </c>
      <c r="O69" s="31">
        <f t="shared" si="21"/>
        <v>7.7673431777978932E-2</v>
      </c>
      <c r="P69" s="31">
        <f t="shared" si="21"/>
        <v>3.8092496777414046E-2</v>
      </c>
      <c r="Q69" s="31">
        <f t="shared" si="21"/>
        <v>9.5960597778708911E-2</v>
      </c>
      <c r="R69" s="31">
        <f t="shared" si="21"/>
        <v>4.7122606662369337E-2</v>
      </c>
      <c r="S69" s="31">
        <f t="shared" si="21"/>
        <v>0.10106477198746411</v>
      </c>
      <c r="T69" s="31">
        <f t="shared" si="21"/>
        <v>4.9552709776970238E-2</v>
      </c>
      <c r="U69" s="31">
        <f t="shared" si="21"/>
        <v>0.11508937213496778</v>
      </c>
      <c r="V69" s="31">
        <f t="shared" si="21"/>
        <v>5.6423263507313304E-2</v>
      </c>
      <c r="W69" s="31">
        <f t="shared" si="21"/>
        <v>8.7040171839960434E-2</v>
      </c>
      <c r="X69" s="31">
        <f t="shared" si="21"/>
        <v>4.2682156046627173E-2</v>
      </c>
      <c r="Y69" s="34">
        <v>0.12670000000000001</v>
      </c>
      <c r="Z69" s="39"/>
    </row>
    <row r="70" spans="1:26" x14ac:dyDescent="0.25">
      <c r="B70" s="27"/>
      <c r="C70" s="31">
        <f>SUM(C57:C69)</f>
        <v>1</v>
      </c>
      <c r="D70" s="31">
        <f t="shared" ref="D70:X70" si="22">SUM(D57:D69)</f>
        <v>1</v>
      </c>
      <c r="E70" s="31">
        <f t="shared" si="22"/>
        <v>0.99999999999999978</v>
      </c>
      <c r="F70" s="31">
        <f t="shared" si="22"/>
        <v>1</v>
      </c>
      <c r="G70" s="31">
        <f t="shared" si="22"/>
        <v>1</v>
      </c>
      <c r="H70" s="31">
        <f t="shared" si="22"/>
        <v>1.0000000000000002</v>
      </c>
      <c r="I70" s="31">
        <f t="shared" si="22"/>
        <v>1</v>
      </c>
      <c r="J70" s="31">
        <f t="shared" si="22"/>
        <v>0.99999999999999978</v>
      </c>
      <c r="K70" s="31">
        <f t="shared" si="22"/>
        <v>1</v>
      </c>
      <c r="L70" s="31">
        <f t="shared" si="22"/>
        <v>0.99999999999999967</v>
      </c>
      <c r="M70" s="31">
        <f t="shared" si="22"/>
        <v>1</v>
      </c>
      <c r="N70" s="31">
        <f t="shared" si="22"/>
        <v>0.99999999999999989</v>
      </c>
      <c r="O70" s="31">
        <f t="shared" si="22"/>
        <v>1</v>
      </c>
      <c r="P70" s="31">
        <f t="shared" si="22"/>
        <v>1.0000037169469393</v>
      </c>
      <c r="Q70" s="31">
        <f t="shared" si="22"/>
        <v>1</v>
      </c>
      <c r="R70" s="31">
        <f t="shared" si="22"/>
        <v>1.0003249917636725</v>
      </c>
      <c r="S70" s="31">
        <f t="shared" si="22"/>
        <v>1</v>
      </c>
      <c r="T70" s="31">
        <f t="shared" si="22"/>
        <v>1.0000410885888265</v>
      </c>
      <c r="U70" s="31">
        <f t="shared" si="22"/>
        <v>0.99999999999999978</v>
      </c>
      <c r="V70" s="31">
        <f t="shared" si="22"/>
        <v>1.0000812479409182</v>
      </c>
      <c r="W70" s="31">
        <f t="shared" si="22"/>
        <v>1</v>
      </c>
      <c r="X70" s="31">
        <f t="shared" si="22"/>
        <v>1.0000009292367349</v>
      </c>
    </row>
    <row r="73" spans="1:26" ht="15" customHeight="1" x14ac:dyDescent="0.25">
      <c r="C73" s="524" t="s">
        <v>84</v>
      </c>
      <c r="D73" s="551" t="s">
        <v>132</v>
      </c>
      <c r="E73" s="552" t="s">
        <v>136</v>
      </c>
      <c r="F73" s="553"/>
      <c r="G73" s="553"/>
      <c r="H73" s="553"/>
      <c r="I73" s="554"/>
      <c r="J73" s="153" t="s">
        <v>106</v>
      </c>
      <c r="K73" s="153"/>
      <c r="L73" s="153"/>
      <c r="M73" s="91"/>
      <c r="N73" s="91"/>
    </row>
    <row r="74" spans="1:26" ht="45" x14ac:dyDescent="0.25">
      <c r="C74" s="524"/>
      <c r="D74" s="551"/>
      <c r="E74" s="137" t="s">
        <v>86</v>
      </c>
      <c r="F74" s="137" t="s">
        <v>87</v>
      </c>
      <c r="G74" s="137" t="s">
        <v>88</v>
      </c>
      <c r="H74" s="154" t="s">
        <v>89</v>
      </c>
      <c r="I74" s="154" t="s">
        <v>90</v>
      </c>
      <c r="J74" s="32" t="s">
        <v>103</v>
      </c>
      <c r="K74" s="32" t="s">
        <v>104</v>
      </c>
      <c r="L74" s="32" t="s">
        <v>105</v>
      </c>
      <c r="M74" s="32" t="s">
        <v>113</v>
      </c>
      <c r="N74" s="32" t="s">
        <v>114</v>
      </c>
      <c r="S74" s="135" t="s">
        <v>117</v>
      </c>
    </row>
    <row r="75" spans="1:26" x14ac:dyDescent="0.25">
      <c r="B75" s="33" t="s">
        <v>82</v>
      </c>
      <c r="C75" s="158">
        <v>0.30930000000000002</v>
      </c>
      <c r="D75" s="35">
        <v>0.22611376396934094</v>
      </c>
      <c r="E75" s="164">
        <f t="shared" ref="E75:E87" si="23">T57</f>
        <v>0.24819926521422173</v>
      </c>
      <c r="F75" s="159">
        <f>MIN(D57,F57,H57,J57,L57,N57,P57,R57)</f>
        <v>9.7556531862969947E-2</v>
      </c>
      <c r="G75" s="159">
        <f t="shared" ref="G75:G87" si="24">MAX(D57,F57,H57,J57,L57,N57,P57,R57)</f>
        <v>0.50863335052210012</v>
      </c>
      <c r="H75" s="160">
        <f t="shared" ref="H75:H87" si="25">STDEV(D57,F57,H57,J57,L57,N57,P57,R57)</f>
        <v>0.13582417951036888</v>
      </c>
      <c r="I75" s="161">
        <f>H75/E75</f>
        <v>0.54723844324494075</v>
      </c>
      <c r="J75" s="36">
        <f>E75+SQRT((1/0.05)-1)*(H75/SQRT(8))</f>
        <v>0.45751838374309417</v>
      </c>
      <c r="K75" s="36">
        <f>E75-(SQRT((1/0.05)-1)*H75/SQRT(8))</f>
        <v>3.8880146685349254E-2</v>
      </c>
      <c r="L75" s="38">
        <f>SQRT((1/0.05)-1)*(H75/SQRT(8))</f>
        <v>0.20931911852887247</v>
      </c>
      <c r="M75" s="112">
        <f>(J75-K75)/2</f>
        <v>0.20931911852887247</v>
      </c>
      <c r="N75" s="62">
        <f>M75/E75</f>
        <v>0.84335108062551412</v>
      </c>
      <c r="O75" s="39">
        <f>E75-F75</f>
        <v>0.15064273335125178</v>
      </c>
      <c r="P75" s="40">
        <f>G75-E75</f>
        <v>0.26043408530787837</v>
      </c>
      <c r="Q75" s="155">
        <f>C75/E75</f>
        <v>1.246176130831983</v>
      </c>
      <c r="R75" s="39">
        <f>G75-F75</f>
        <v>0.41107681865913015</v>
      </c>
      <c r="S75" s="49">
        <f>E75/C75</f>
        <v>0.80245478569098516</v>
      </c>
      <c r="T75" s="39"/>
    </row>
    <row r="76" spans="1:26" x14ac:dyDescent="0.25">
      <c r="B76" s="41" t="s">
        <v>31</v>
      </c>
      <c r="C76" s="43">
        <v>0.1033</v>
      </c>
      <c r="D76" s="43">
        <v>0.12621046204246816</v>
      </c>
      <c r="E76" s="140">
        <f t="shared" si="23"/>
        <v>0.13576581151749825</v>
      </c>
      <c r="F76" s="44">
        <f t="shared" ref="F76:F87" si="26">MIN(D58,F58,H58,J58,L58,N58,P58,R58)</f>
        <v>4.8051794391281072E-2</v>
      </c>
      <c r="G76" s="44">
        <f t="shared" si="24"/>
        <v>0.35360205318966159</v>
      </c>
      <c r="H76" s="46">
        <f t="shared" si="25"/>
        <v>9.6948098270625158E-2</v>
      </c>
      <c r="I76" s="45">
        <f t="shared" ref="I76:I87" si="27">H76/E76</f>
        <v>0.71408329672253279</v>
      </c>
      <c r="J76" s="44">
        <f t="shared" ref="J76:J87" si="28">E76+SQRT((1/0.05)-1)*(H76/SQRT(8))</f>
        <v>0.28517286515266183</v>
      </c>
      <c r="K76" s="44">
        <f t="shared" ref="K76:K87" si="29">E76-(SQRT((1/0.05)-1)*H76/SQRT(8))</f>
        <v>-1.3641242117665292E-2</v>
      </c>
      <c r="L76" s="46">
        <f t="shared" ref="L76:L87" si="30">SQRT((1/0.05)-1)*(H76/SQRT(8))</f>
        <v>0.14940705363516354</v>
      </c>
      <c r="M76" s="113">
        <f t="shared" ref="M76:M87" si="31">(J76-K76)/2</f>
        <v>0.14940705363516354</v>
      </c>
      <c r="N76" s="60">
        <f t="shared" ref="N76:N87" si="32">M76/E76</f>
        <v>1.1004762684006579</v>
      </c>
      <c r="O76" s="39">
        <f t="shared" ref="O76:O87" si="33">E76-F76</f>
        <v>8.7714017126217181E-2</v>
      </c>
      <c r="P76" s="40">
        <f t="shared" ref="P76:P87" si="34">G76-E76</f>
        <v>0.21783624167216334</v>
      </c>
      <c r="Q76" s="155">
        <f>C76/E76</f>
        <v>0.76086902030328984</v>
      </c>
      <c r="R76" s="39">
        <f t="shared" ref="R76:R87" si="35">G76-F76</f>
        <v>0.30555025879838049</v>
      </c>
      <c r="S76" s="49">
        <f t="shared" ref="S76:S87" si="36">E76/C76</f>
        <v>1.3142866555420933</v>
      </c>
      <c r="T76" s="39"/>
    </row>
    <row r="77" spans="1:26" x14ac:dyDescent="0.25">
      <c r="B77" s="33" t="s">
        <v>37</v>
      </c>
      <c r="C77" s="35">
        <v>5.6899999999999999E-2</v>
      </c>
      <c r="D77" s="35">
        <v>9.870587327859015E-2</v>
      </c>
      <c r="E77" s="157">
        <f t="shared" si="23"/>
        <v>7.483449138967721E-2</v>
      </c>
      <c r="F77" s="36">
        <f t="shared" si="26"/>
        <v>5.1119378403398343E-2</v>
      </c>
      <c r="G77" s="36">
        <f t="shared" si="24"/>
        <v>9.9551774658008366E-2</v>
      </c>
      <c r="H77" s="38">
        <f t="shared" si="25"/>
        <v>1.865329197811863E-2</v>
      </c>
      <c r="I77" s="37">
        <f t="shared" si="27"/>
        <v>0.24926062343348399</v>
      </c>
      <c r="J77" s="36">
        <f t="shared" si="28"/>
        <v>0.10358114495752305</v>
      </c>
      <c r="K77" s="36">
        <f t="shared" si="29"/>
        <v>4.6087837821831373E-2</v>
      </c>
      <c r="L77" s="38">
        <f>SQRT((1/0.05)-1)*(H77/SQRT(8))</f>
        <v>2.874665356784584E-2</v>
      </c>
      <c r="M77" s="112">
        <f t="shared" si="31"/>
        <v>2.8746653567845837E-2</v>
      </c>
      <c r="N77" s="62">
        <f t="shared" si="32"/>
        <v>0.38413641937053633</v>
      </c>
      <c r="O77" s="39">
        <f t="shared" si="33"/>
        <v>2.3715112986278868E-2</v>
      </c>
      <c r="P77" s="40">
        <f t="shared" si="34"/>
        <v>2.4717283268331156E-2</v>
      </c>
      <c r="Q77" s="155">
        <f>C77/E77</f>
        <v>0.76034458099956936</v>
      </c>
      <c r="R77" s="39">
        <f t="shared" si="35"/>
        <v>4.8432396254610023E-2</v>
      </c>
      <c r="S77" s="49">
        <f>E77/C77</f>
        <v>1.3151931702930968</v>
      </c>
      <c r="T77" s="39"/>
    </row>
    <row r="78" spans="1:26" x14ac:dyDescent="0.25">
      <c r="B78" s="41" t="s">
        <v>83</v>
      </c>
      <c r="C78" s="43">
        <v>1.6899999999999998E-2</v>
      </c>
      <c r="D78" s="43">
        <v>2.2590783766282978E-2</v>
      </c>
      <c r="E78" s="140">
        <f t="shared" si="23"/>
        <v>2.1533054191992366E-2</v>
      </c>
      <c r="F78" s="44">
        <f t="shared" si="26"/>
        <v>1.4661955888304618E-2</v>
      </c>
      <c r="G78" s="44">
        <f t="shared" si="24"/>
        <v>2.5712892682354018E-2</v>
      </c>
      <c r="H78" s="46">
        <f t="shared" si="25"/>
        <v>4.9340725691774901E-3</v>
      </c>
      <c r="I78" s="45">
        <f t="shared" si="27"/>
        <v>0.22913946740599181</v>
      </c>
      <c r="J78" s="44">
        <f t="shared" si="28"/>
        <v>2.9136970701268073E-2</v>
      </c>
      <c r="K78" s="44">
        <f t="shared" si="29"/>
        <v>1.3929137682716657E-2</v>
      </c>
      <c r="L78" s="46">
        <f t="shared" si="30"/>
        <v>7.603916509275708E-3</v>
      </c>
      <c r="M78" s="113">
        <f t="shared" si="31"/>
        <v>7.603916509275708E-3</v>
      </c>
      <c r="N78" s="60">
        <f t="shared" si="32"/>
        <v>0.35312763537758729</v>
      </c>
      <c r="O78" s="39">
        <f t="shared" si="33"/>
        <v>6.8710983036877477E-3</v>
      </c>
      <c r="P78" s="40">
        <f t="shared" si="34"/>
        <v>4.1798384903616523E-3</v>
      </c>
      <c r="Q78" s="155">
        <f>C78/E78</f>
        <v>0.78483989541459054</v>
      </c>
      <c r="R78" s="39">
        <f t="shared" si="35"/>
        <v>1.10509367940494E-2</v>
      </c>
      <c r="S78" s="49">
        <f t="shared" si="36"/>
        <v>1.2741452184610869</v>
      </c>
      <c r="T78" s="39"/>
    </row>
    <row r="79" spans="1:26" x14ac:dyDescent="0.25">
      <c r="B79" s="33" t="s">
        <v>46</v>
      </c>
      <c r="C79" s="35">
        <v>2.3199999999999998E-2</v>
      </c>
      <c r="D79" s="35">
        <v>2.8504511241045284E-2</v>
      </c>
      <c r="E79" s="157">
        <f>T61</f>
        <v>2.2151063475339277E-2</v>
      </c>
      <c r="F79" s="36">
        <f t="shared" si="26"/>
        <v>4.0401819700657069E-3</v>
      </c>
      <c r="G79" s="36">
        <f t="shared" si="24"/>
        <v>4.4804615907116166E-2</v>
      </c>
      <c r="H79" s="38">
        <f t="shared" si="25"/>
        <v>1.4354052859833096E-2</v>
      </c>
      <c r="I79" s="37">
        <f>H79/E79</f>
        <v>0.64800739141998431</v>
      </c>
      <c r="J79" s="36">
        <f t="shared" si="28"/>
        <v>4.4272144587467283E-2</v>
      </c>
      <c r="K79" s="36">
        <f t="shared" si="29"/>
        <v>2.9982363211271401E-5</v>
      </c>
      <c r="L79" s="38">
        <f t="shared" si="30"/>
        <v>2.2121081112128006E-2</v>
      </c>
      <c r="M79" s="112">
        <f t="shared" si="31"/>
        <v>2.2121081112128006E-2</v>
      </c>
      <c r="N79" s="62">
        <f t="shared" si="32"/>
        <v>0.99864645942418739</v>
      </c>
      <c r="O79" s="39">
        <f t="shared" si="33"/>
        <v>1.8110881505273568E-2</v>
      </c>
      <c r="P79" s="40">
        <f t="shared" si="34"/>
        <v>2.2653552431776889E-2</v>
      </c>
      <c r="Q79" s="156">
        <f>C79/E79</f>
        <v>1.0473537772048056</v>
      </c>
      <c r="R79" s="39">
        <f t="shared" si="35"/>
        <v>4.0764433937050461E-2</v>
      </c>
      <c r="S79" s="49">
        <f t="shared" si="36"/>
        <v>0.95478721876462402</v>
      </c>
      <c r="T79" s="39"/>
    </row>
    <row r="80" spans="1:26" x14ac:dyDescent="0.25">
      <c r="B80" s="41" t="s">
        <v>47</v>
      </c>
      <c r="C80" s="43">
        <v>0.105</v>
      </c>
      <c r="D80" s="43">
        <v>9.1187119019428636E-2</v>
      </c>
      <c r="E80" s="167">
        <f t="shared" si="23"/>
        <v>0.115882192318677</v>
      </c>
      <c r="F80" s="44">
        <f t="shared" si="26"/>
        <v>3.8636865139158511E-2</v>
      </c>
      <c r="G80" s="44">
        <f t="shared" si="24"/>
        <v>0.2319256925702663</v>
      </c>
      <c r="H80" s="46">
        <f t="shared" si="25"/>
        <v>5.9968338233756843E-2</v>
      </c>
      <c r="I80" s="45">
        <f t="shared" si="27"/>
        <v>0.51749399138776575</v>
      </c>
      <c r="J80" s="44">
        <f t="shared" si="28"/>
        <v>0.20829960830441463</v>
      </c>
      <c r="K80" s="44">
        <f t="shared" si="29"/>
        <v>2.3464776332939363E-2</v>
      </c>
      <c r="L80" s="46">
        <f t="shared" si="30"/>
        <v>9.2417415985737647E-2</v>
      </c>
      <c r="M80" s="113">
        <f t="shared" si="31"/>
        <v>9.2417415985737633E-2</v>
      </c>
      <c r="N80" s="60">
        <f t="shared" si="32"/>
        <v>0.79751180174076242</v>
      </c>
      <c r="O80" s="39">
        <f t="shared" si="33"/>
        <v>7.7245327179518486E-2</v>
      </c>
      <c r="P80" s="40">
        <f t="shared" si="34"/>
        <v>0.1160435002515893</v>
      </c>
      <c r="Q80" s="155">
        <f t="shared" ref="Q80:Q87" si="37">C80/E80</f>
        <v>0.90609262647749289</v>
      </c>
      <c r="R80" s="39">
        <f t="shared" si="35"/>
        <v>0.19328882743110778</v>
      </c>
      <c r="S80" s="49">
        <f t="shared" si="36"/>
        <v>1.1036399268445429</v>
      </c>
      <c r="T80" s="39"/>
    </row>
    <row r="81" spans="2:24" x14ac:dyDescent="0.25">
      <c r="B81" s="33" t="s">
        <v>50</v>
      </c>
      <c r="C81" s="35">
        <v>0.1143</v>
      </c>
      <c r="D81" s="35">
        <v>0.18350233790553844</v>
      </c>
      <c r="E81" s="141">
        <f t="shared" si="23"/>
        <v>0.16962404038120515</v>
      </c>
      <c r="F81" s="36">
        <f t="shared" si="26"/>
        <v>9.7802962865692594E-2</v>
      </c>
      <c r="G81" s="36">
        <f t="shared" si="24"/>
        <v>0.22611986751277768</v>
      </c>
      <c r="H81" s="38">
        <f t="shared" si="25"/>
        <v>4.3351386563416611E-2</v>
      </c>
      <c r="I81" s="37">
        <f t="shared" si="27"/>
        <v>0.25557336369296901</v>
      </c>
      <c r="J81" s="36">
        <f t="shared" si="28"/>
        <v>0.23643301397611677</v>
      </c>
      <c r="K81" s="36">
        <f t="shared" si="29"/>
        <v>0.10281506678629354</v>
      </c>
      <c r="L81" s="38">
        <f t="shared" si="30"/>
        <v>6.6808973594911628E-2</v>
      </c>
      <c r="M81" s="112">
        <f t="shared" si="31"/>
        <v>6.6808973594911614E-2</v>
      </c>
      <c r="N81" s="62">
        <f t="shared" si="32"/>
        <v>0.39386500548370529</v>
      </c>
      <c r="O81" s="39">
        <f t="shared" si="33"/>
        <v>7.182107751551256E-2</v>
      </c>
      <c r="P81" s="40">
        <f t="shared" si="34"/>
        <v>5.6495827131572529E-2</v>
      </c>
      <c r="Q81" s="155">
        <f t="shared" si="37"/>
        <v>0.67384316364076413</v>
      </c>
      <c r="R81" s="39">
        <f t="shared" si="35"/>
        <v>0.12831690464708509</v>
      </c>
      <c r="S81" s="49">
        <f t="shared" si="36"/>
        <v>1.4840248502292666</v>
      </c>
      <c r="T81" s="39"/>
    </row>
    <row r="82" spans="2:24" x14ac:dyDescent="0.25">
      <c r="B82" s="41" t="s">
        <v>56</v>
      </c>
      <c r="C82" s="43">
        <v>2.4400000000000002E-2</v>
      </c>
      <c r="D82" s="43">
        <v>3.5013714023170849E-2</v>
      </c>
      <c r="E82" s="167">
        <f>T64</f>
        <v>2.6849765109720591E-2</v>
      </c>
      <c r="F82" s="44">
        <f t="shared" si="26"/>
        <v>8.2990406694630446E-3</v>
      </c>
      <c r="G82" s="44">
        <f t="shared" si="24"/>
        <v>6.9502255549022063E-2</v>
      </c>
      <c r="H82" s="46">
        <f t="shared" si="25"/>
        <v>1.9493914635800358E-2</v>
      </c>
      <c r="I82" s="45">
        <f t="shared" si="27"/>
        <v>0.72603669179745833</v>
      </c>
      <c r="J82" s="44">
        <f t="shared" si="28"/>
        <v>5.689190519812299E-2</v>
      </c>
      <c r="K82" s="44">
        <f t="shared" si="29"/>
        <v>-3.192374978681807E-3</v>
      </c>
      <c r="L82" s="46">
        <f t="shared" si="30"/>
        <v>3.0042140088402398E-2</v>
      </c>
      <c r="M82" s="113">
        <f t="shared" si="31"/>
        <v>3.0042140088402398E-2</v>
      </c>
      <c r="N82" s="60">
        <f t="shared" si="32"/>
        <v>1.1188976873963807</v>
      </c>
      <c r="O82" s="39">
        <f t="shared" si="33"/>
        <v>1.8550724440257547E-2</v>
      </c>
      <c r="P82" s="40">
        <f t="shared" si="34"/>
        <v>4.2652490439301471E-2</v>
      </c>
      <c r="Q82" s="155">
        <f>C82/E82</f>
        <v>0.90876027780095237</v>
      </c>
      <c r="R82" s="39">
        <f t="shared" si="35"/>
        <v>6.1203214879559015E-2</v>
      </c>
      <c r="S82" s="49">
        <f t="shared" si="36"/>
        <v>1.1004002094147782</v>
      </c>
      <c r="T82" s="39"/>
    </row>
    <row r="83" spans="2:24" x14ac:dyDescent="0.25">
      <c r="B83" s="33" t="s">
        <v>57</v>
      </c>
      <c r="C83" s="35">
        <v>5.7500000000000002E-2</v>
      </c>
      <c r="D83" s="35">
        <v>6.5246665055814695E-2</v>
      </c>
      <c r="E83" s="141">
        <f t="shared" si="23"/>
        <v>7.3395151930140429E-2</v>
      </c>
      <c r="F83" s="36">
        <f t="shared" si="26"/>
        <v>2.0495384347936355E-2</v>
      </c>
      <c r="G83" s="36">
        <f t="shared" si="24"/>
        <v>0.13567543019590206</v>
      </c>
      <c r="H83" s="38">
        <f t="shared" si="25"/>
        <v>3.399557877038873E-2</v>
      </c>
      <c r="I83" s="37">
        <f t="shared" si="27"/>
        <v>0.46318561752888909</v>
      </c>
      <c r="J83" s="36">
        <f t="shared" si="28"/>
        <v>0.12578585738294523</v>
      </c>
      <c r="K83" s="36">
        <f t="shared" si="29"/>
        <v>2.1004446477335639E-2</v>
      </c>
      <c r="L83" s="38">
        <f t="shared" si="30"/>
        <v>5.2390705452804789E-2</v>
      </c>
      <c r="M83" s="112">
        <f t="shared" si="31"/>
        <v>5.2390705452804796E-2</v>
      </c>
      <c r="N83" s="62">
        <f t="shared" si="32"/>
        <v>0.71381697666722921</v>
      </c>
      <c r="O83" s="39">
        <f t="shared" si="33"/>
        <v>5.2899767582204077E-2</v>
      </c>
      <c r="P83" s="40">
        <f t="shared" si="34"/>
        <v>6.2280278265761629E-2</v>
      </c>
      <c r="Q83" s="155">
        <f t="shared" si="37"/>
        <v>0.78343049217651484</v>
      </c>
      <c r="R83" s="39">
        <f t="shared" si="35"/>
        <v>0.11518004584796571</v>
      </c>
      <c r="S83" s="49">
        <f t="shared" si="36"/>
        <v>1.2764374248720074</v>
      </c>
      <c r="T83" s="39"/>
    </row>
    <row r="84" spans="2:24" x14ac:dyDescent="0.25">
      <c r="B84" s="41" t="s">
        <v>60</v>
      </c>
      <c r="C84" s="43">
        <v>2.87E-2</v>
      </c>
      <c r="D84" s="43">
        <v>4.0337855118482362E-2</v>
      </c>
      <c r="E84" s="140">
        <f t="shared" si="23"/>
        <v>3.6031911065669581E-2</v>
      </c>
      <c r="F84" s="44">
        <f t="shared" si="26"/>
        <v>6.0401894651027207E-3</v>
      </c>
      <c r="G84" s="44">
        <f t="shared" si="24"/>
        <v>5.3151981953915309E-2</v>
      </c>
      <c r="H84" s="46">
        <f t="shared" si="25"/>
        <v>1.5312057479764113E-2</v>
      </c>
      <c r="I84" s="45">
        <f t="shared" si="27"/>
        <v>0.4249582391524358</v>
      </c>
      <c r="J84" s="44">
        <f t="shared" si="28"/>
        <v>5.9629376451300523E-2</v>
      </c>
      <c r="K84" s="44">
        <f t="shared" si="29"/>
        <v>1.2434445680038646E-2</v>
      </c>
      <c r="L84" s="46">
        <f t="shared" si="30"/>
        <v>2.3597465385630938E-2</v>
      </c>
      <c r="M84" s="113">
        <f t="shared" si="31"/>
        <v>2.3597465385630938E-2</v>
      </c>
      <c r="N84" s="60">
        <f t="shared" si="32"/>
        <v>0.65490463002707866</v>
      </c>
      <c r="O84" s="39">
        <f t="shared" si="33"/>
        <v>2.9991721600566859E-2</v>
      </c>
      <c r="P84" s="40">
        <f t="shared" si="34"/>
        <v>1.7120070888245728E-2</v>
      </c>
      <c r="Q84" s="155">
        <f t="shared" si="37"/>
        <v>0.79651617555597087</v>
      </c>
      <c r="R84" s="39">
        <f t="shared" si="35"/>
        <v>4.7111792488812587E-2</v>
      </c>
      <c r="S84" s="49">
        <f t="shared" si="36"/>
        <v>1.2554672845181039</v>
      </c>
      <c r="T84" s="39"/>
    </row>
    <row r="85" spans="2:24" x14ac:dyDescent="0.25">
      <c r="B85" s="33" t="s">
        <v>67</v>
      </c>
      <c r="C85" s="35">
        <v>2.5700000000000001E-2</v>
      </c>
      <c r="D85" s="35">
        <v>1.6677595960460041E-2</v>
      </c>
      <c r="E85" s="157">
        <f t="shared" si="23"/>
        <v>1.9660058324891028E-2</v>
      </c>
      <c r="F85" s="36">
        <f t="shared" si="26"/>
        <v>0</v>
      </c>
      <c r="G85" s="36">
        <f t="shared" si="24"/>
        <v>6.4179741168242502E-2</v>
      </c>
      <c r="H85" s="38">
        <f t="shared" si="25"/>
        <v>2.4507396617314828E-2</v>
      </c>
      <c r="I85" s="37">
        <f t="shared" si="27"/>
        <v>1.2465576760922792</v>
      </c>
      <c r="J85" s="36">
        <f t="shared" si="28"/>
        <v>5.7428493045913548E-2</v>
      </c>
      <c r="K85" s="36">
        <f t="shared" si="29"/>
        <v>-1.8108376396131488E-2</v>
      </c>
      <c r="L85" s="38">
        <f t="shared" si="30"/>
        <v>3.7768434721022516E-2</v>
      </c>
      <c r="M85" s="112">
        <f t="shared" si="31"/>
        <v>3.7768434721022516E-2</v>
      </c>
      <c r="N85" s="62">
        <f t="shared" si="32"/>
        <v>1.9210743985029282</v>
      </c>
      <c r="O85" s="39">
        <f t="shared" si="33"/>
        <v>1.9660058324891028E-2</v>
      </c>
      <c r="P85" s="40">
        <f t="shared" si="34"/>
        <v>4.4519682843351477E-2</v>
      </c>
      <c r="Q85" s="155">
        <f t="shared" si="37"/>
        <v>1.3072189092878721</v>
      </c>
      <c r="R85" s="39">
        <f t="shared" si="35"/>
        <v>6.4179741168242502E-2</v>
      </c>
      <c r="S85" s="49">
        <f t="shared" si="36"/>
        <v>0.76498281419809444</v>
      </c>
      <c r="T85" s="39"/>
    </row>
    <row r="86" spans="2:24" x14ac:dyDescent="0.25">
      <c r="B86" s="41" t="s">
        <v>69</v>
      </c>
      <c r="C86" s="43">
        <v>8.0999999999999996E-3</v>
      </c>
      <c r="D86" s="43">
        <v>8.6654674950381386E-3</v>
      </c>
      <c r="E86" s="167">
        <f t="shared" si="23"/>
        <v>6.561573892823646E-3</v>
      </c>
      <c r="F86" s="44">
        <f t="shared" si="26"/>
        <v>0</v>
      </c>
      <c r="G86" s="44">
        <f t="shared" si="24"/>
        <v>2.0884833507067463E-2</v>
      </c>
      <c r="H86" s="46">
        <f t="shared" si="25"/>
        <v>6.8336750274838711E-3</v>
      </c>
      <c r="I86" s="45">
        <f>H86/E86</f>
        <v>1.0414688821774636</v>
      </c>
      <c r="J86" s="44">
        <f t="shared" si="28"/>
        <v>1.7092974400613893E-2</v>
      </c>
      <c r="K86" s="44">
        <f t="shared" si="29"/>
        <v>-3.9698266149665994E-3</v>
      </c>
      <c r="L86" s="46">
        <f t="shared" si="30"/>
        <v>1.0531400507790245E-2</v>
      </c>
      <c r="M86" s="113">
        <f t="shared" si="31"/>
        <v>1.0531400507790247E-2</v>
      </c>
      <c r="N86" s="60">
        <f t="shared" si="32"/>
        <v>1.6050113402378012</v>
      </c>
      <c r="O86" s="39">
        <f t="shared" si="33"/>
        <v>6.561573892823646E-3</v>
      </c>
      <c r="P86" s="40">
        <f t="shared" si="34"/>
        <v>1.4323259614243817E-2</v>
      </c>
      <c r="Q86" s="155">
        <f>C86/E86</f>
        <v>1.2344599226199253</v>
      </c>
      <c r="R86" s="39">
        <f t="shared" si="35"/>
        <v>2.0884833507067463E-2</v>
      </c>
      <c r="S86" s="49">
        <f t="shared" si="36"/>
        <v>0.81007085096588227</v>
      </c>
      <c r="T86" s="39"/>
    </row>
    <row r="87" spans="2:24" x14ac:dyDescent="0.25">
      <c r="B87" s="47" t="s">
        <v>74</v>
      </c>
      <c r="C87" s="35">
        <v>0.12670000000000001</v>
      </c>
      <c r="D87" s="35">
        <v>5.7233624762730154E-2</v>
      </c>
      <c r="E87" s="253">
        <f t="shared" si="23"/>
        <v>4.9552709776970238E-2</v>
      </c>
      <c r="F87" s="36">
        <f t="shared" si="26"/>
        <v>3.5976173520533311E-2</v>
      </c>
      <c r="G87" s="36">
        <f t="shared" si="24"/>
        <v>6.3829906547245685E-2</v>
      </c>
      <c r="H87" s="38">
        <f t="shared" si="25"/>
        <v>9.785101562061891E-3</v>
      </c>
      <c r="I87" s="37">
        <f t="shared" si="27"/>
        <v>0.19746854624304611</v>
      </c>
      <c r="J87" s="36">
        <f t="shared" si="28"/>
        <v>6.4632564049382224E-2</v>
      </c>
      <c r="K87" s="36">
        <f t="shared" si="29"/>
        <v>3.4472855504558253E-2</v>
      </c>
      <c r="L87" s="38">
        <f t="shared" si="30"/>
        <v>1.5079854272411982E-2</v>
      </c>
      <c r="M87" s="112">
        <f t="shared" si="31"/>
        <v>1.5079854272411986E-2</v>
      </c>
      <c r="N87" s="62">
        <f t="shared" si="32"/>
        <v>0.30431946790164016</v>
      </c>
      <c r="O87" s="39">
        <f t="shared" si="33"/>
        <v>1.3576536256436927E-2</v>
      </c>
      <c r="P87" s="40">
        <f t="shared" si="34"/>
        <v>1.4277196770275447E-2</v>
      </c>
      <c r="Q87" s="136">
        <f t="shared" si="37"/>
        <v>2.5568732884691645</v>
      </c>
      <c r="R87" s="39">
        <f t="shared" si="35"/>
        <v>2.7853733026712374E-2</v>
      </c>
      <c r="S87" s="49">
        <f t="shared" si="36"/>
        <v>0.39110268174404289</v>
      </c>
      <c r="T87" s="39"/>
    </row>
    <row r="88" spans="2:24" x14ac:dyDescent="0.25">
      <c r="C88" s="48"/>
      <c r="D88" s="35">
        <v>0.99998977363839092</v>
      </c>
      <c r="E88" s="49"/>
    </row>
    <row r="89" spans="2:24" x14ac:dyDescent="0.25">
      <c r="B89" s="50"/>
      <c r="C89" s="555" t="s">
        <v>84</v>
      </c>
      <c r="D89" s="556" t="s">
        <v>91</v>
      </c>
      <c r="E89" s="557"/>
      <c r="F89" s="557"/>
      <c r="G89" s="557"/>
      <c r="H89" s="558"/>
      <c r="I89" s="556" t="s">
        <v>92</v>
      </c>
      <c r="J89" s="557"/>
      <c r="K89" s="557"/>
      <c r="L89" s="557"/>
      <c r="M89" s="558"/>
    </row>
    <row r="90" spans="2:24" ht="45" x14ac:dyDescent="0.25">
      <c r="B90" s="50"/>
      <c r="C90" s="555"/>
      <c r="D90" s="165" t="s">
        <v>78</v>
      </c>
      <c r="E90" s="165" t="s">
        <v>93</v>
      </c>
      <c r="F90" s="165" t="s">
        <v>94</v>
      </c>
      <c r="G90" s="166" t="s">
        <v>95</v>
      </c>
      <c r="H90" s="165" t="s">
        <v>90</v>
      </c>
      <c r="I90" s="165" t="s">
        <v>77</v>
      </c>
      <c r="J90" s="165" t="s">
        <v>93</v>
      </c>
      <c r="K90" s="165" t="s">
        <v>94</v>
      </c>
      <c r="L90" s="166" t="s">
        <v>95</v>
      </c>
      <c r="M90" s="165" t="s">
        <v>90</v>
      </c>
      <c r="N90" s="131" t="s">
        <v>115</v>
      </c>
      <c r="P90" t="s">
        <v>116</v>
      </c>
      <c r="R90" s="135" t="s">
        <v>118</v>
      </c>
      <c r="S90" s="135" t="s">
        <v>116</v>
      </c>
      <c r="T90" t="s">
        <v>133</v>
      </c>
      <c r="U90" t="s">
        <v>134</v>
      </c>
      <c r="V90" t="s">
        <v>135</v>
      </c>
    </row>
    <row r="91" spans="2:24" x14ac:dyDescent="0.25">
      <c r="B91" s="51" t="s">
        <v>82</v>
      </c>
      <c r="C91" s="158">
        <v>0.30930000000000002</v>
      </c>
      <c r="D91" s="162">
        <f>AVERAGE(D57,H57,L57,P57)</f>
        <v>0.2083979262616461</v>
      </c>
      <c r="E91" s="52">
        <f t="shared" ref="E91:E103" si="38">MIN(D57,H57,L57,P57)</f>
        <v>0.14605298595874291</v>
      </c>
      <c r="F91" s="53">
        <f t="shared" ref="F91:F103" si="39">MAX(D57,H57,L57,P57)</f>
        <v>0.29443661882704286</v>
      </c>
      <c r="G91" s="86">
        <f t="shared" ref="G91:G103" si="40">STDEV(D57,H57,L57,P57)</f>
        <v>6.3378567232655378E-2</v>
      </c>
      <c r="H91" s="132">
        <f>G91/D91</f>
        <v>0.30412283063259865</v>
      </c>
      <c r="I91" s="163">
        <f t="shared" ref="I91:I103" si="41">AVERAGE(F57,J57,N57,R57)</f>
        <v>0.28800060416679724</v>
      </c>
      <c r="J91" s="52">
        <f t="shared" ref="J91:J103" si="42">MIN(F57,J57,N57,R57)</f>
        <v>9.7556531862969947E-2</v>
      </c>
      <c r="K91" s="53">
        <f t="shared" ref="K91:K103" si="43">MAX(F57,J57,N57,R57)</f>
        <v>0.50863335052210012</v>
      </c>
      <c r="L91" s="88">
        <f t="shared" ref="L91:L103" si="44">STDEV(F57,J57,N57,R57)</f>
        <v>0.1865598681075499</v>
      </c>
      <c r="M91" s="150">
        <f>L91/I91</f>
        <v>0.64777596091257739</v>
      </c>
      <c r="N91" s="39">
        <f>D91-E91</f>
        <v>6.234494030290319E-2</v>
      </c>
      <c r="O91" s="39">
        <f>F91-D91</f>
        <v>8.6038692565396757E-2</v>
      </c>
      <c r="P91" s="39">
        <f>I91-J91</f>
        <v>0.19044407230382729</v>
      </c>
      <c r="Q91" s="39">
        <f>K91-I91</f>
        <v>0.22063274635530289</v>
      </c>
      <c r="R91" s="156">
        <f>D91/C91</f>
        <v>0.6737727974834985</v>
      </c>
      <c r="S91" s="156">
        <f>I91/C91</f>
        <v>0.93113677389847149</v>
      </c>
      <c r="T91" s="39">
        <f>D91-I91</f>
        <v>-7.9602677905151131E-2</v>
      </c>
      <c r="U91" s="241">
        <f>F91-E91</f>
        <v>0.14838363286829995</v>
      </c>
      <c r="V91" s="241">
        <f>K91-J91</f>
        <v>0.41107681865913015</v>
      </c>
    </row>
    <row r="92" spans="2:24" x14ac:dyDescent="0.25">
      <c r="B92" s="54" t="s">
        <v>31</v>
      </c>
      <c r="C92" s="43">
        <v>0.1033</v>
      </c>
      <c r="D92" s="55">
        <f t="shared" ref="D92:D103" si="45">AVERAGE(D58,H58,L58,P58)</f>
        <v>0.1289471255084301</v>
      </c>
      <c r="E92" s="55">
        <f t="shared" si="38"/>
        <v>9.5402434159191751E-2</v>
      </c>
      <c r="F92" s="56">
        <f t="shared" si="39"/>
        <v>0.18267980439228027</v>
      </c>
      <c r="G92" s="87">
        <f t="shared" si="40"/>
        <v>3.838298792605465E-2</v>
      </c>
      <c r="H92" s="133">
        <f t="shared" ref="H92:H103" si="46">G92/D92</f>
        <v>0.29766454874207576</v>
      </c>
      <c r="I92" s="89">
        <f t="shared" si="41"/>
        <v>0.14258449752656643</v>
      </c>
      <c r="J92" s="55">
        <f t="shared" si="42"/>
        <v>4.8051794391281072E-2</v>
      </c>
      <c r="K92" s="56">
        <f t="shared" si="43"/>
        <v>0.35360205318966159</v>
      </c>
      <c r="L92" s="85">
        <f t="shared" si="44"/>
        <v>0.14259595505076395</v>
      </c>
      <c r="M92" s="151">
        <f t="shared" ref="M92:M103" si="47">L92/I92</f>
        <v>1.0000803560302576</v>
      </c>
      <c r="N92" s="39">
        <f t="shared" ref="N92:N103" si="48">D92-E92</f>
        <v>3.3544691349238348E-2</v>
      </c>
      <c r="O92" s="39">
        <f t="shared" ref="O92:O103" si="49">F92-D92</f>
        <v>5.3732678883850166E-2</v>
      </c>
      <c r="P92" s="39">
        <f t="shared" ref="P92:P103" si="50">I92-J92</f>
        <v>9.4532703135285362E-2</v>
      </c>
      <c r="Q92" s="39">
        <f t="shared" ref="Q92:Q103" si="51">K92-I92</f>
        <v>0.21101755566309516</v>
      </c>
      <c r="R92" s="156">
        <f t="shared" ref="R92:R103" si="52">D92/C92</f>
        <v>1.2482780784939991</v>
      </c>
      <c r="S92" s="156">
        <f t="shared" ref="S92:S103" si="53">I92/C92</f>
        <v>1.380295232590188</v>
      </c>
      <c r="T92" s="39">
        <f t="shared" ref="T92:T103" si="54">D92-I92</f>
        <v>-1.3637372018136334E-2</v>
      </c>
      <c r="U92" s="241">
        <f t="shared" ref="U92:U103" si="55">F92-E92</f>
        <v>8.7277370233088514E-2</v>
      </c>
      <c r="V92" s="241">
        <f t="shared" ref="V92:V103" si="56">K92-J92</f>
        <v>0.30555025879838049</v>
      </c>
    </row>
    <row r="93" spans="2:24" x14ac:dyDescent="0.25">
      <c r="B93" s="51" t="s">
        <v>37</v>
      </c>
      <c r="C93" s="35">
        <v>5.6899999999999999E-2</v>
      </c>
      <c r="D93" s="162">
        <f t="shared" si="45"/>
        <v>7.0541558497217938E-2</v>
      </c>
      <c r="E93" s="52">
        <f t="shared" si="38"/>
        <v>5.7122899136496791E-2</v>
      </c>
      <c r="F93" s="53">
        <f t="shared" si="39"/>
        <v>9.9551774658008366E-2</v>
      </c>
      <c r="G93" s="86">
        <f t="shared" si="40"/>
        <v>1.9556031335398738E-2</v>
      </c>
      <c r="H93" s="134">
        <f t="shared" si="46"/>
        <v>0.27722709494956793</v>
      </c>
      <c r="I93" s="163">
        <f>AVERAGE(F59,J59,N59,R59)</f>
        <v>7.9127424282136483E-2</v>
      </c>
      <c r="J93" s="52">
        <f t="shared" si="42"/>
        <v>5.1119378403398343E-2</v>
      </c>
      <c r="K93" s="53">
        <f t="shared" si="43"/>
        <v>9.6164144194307827E-2</v>
      </c>
      <c r="L93" s="84">
        <f t="shared" si="44"/>
        <v>1.950100718783573E-2</v>
      </c>
      <c r="M93" s="152">
        <f t="shared" si="47"/>
        <v>0.24645067578976163</v>
      </c>
      <c r="N93" s="39">
        <f t="shared" si="48"/>
        <v>1.3418659360721147E-2</v>
      </c>
      <c r="O93" s="39">
        <f t="shared" si="49"/>
        <v>2.9010216160790428E-2</v>
      </c>
      <c r="P93" s="39">
        <f t="shared" si="50"/>
        <v>2.800804587873814E-2</v>
      </c>
      <c r="Q93" s="39">
        <f t="shared" si="51"/>
        <v>1.7036719912171344E-2</v>
      </c>
      <c r="R93" s="156">
        <f>D93/C93</f>
        <v>1.2397461950301922</v>
      </c>
      <c r="S93" s="156">
        <f>I93/C93</f>
        <v>1.3906401455560016</v>
      </c>
      <c r="T93" s="240">
        <f t="shared" si="54"/>
        <v>-8.5858657849185449E-3</v>
      </c>
      <c r="U93" s="39">
        <f t="shared" si="55"/>
        <v>4.2428875521511575E-2</v>
      </c>
      <c r="V93" s="39">
        <f t="shared" si="56"/>
        <v>4.5044765790909484E-2</v>
      </c>
    </row>
    <row r="94" spans="2:24" x14ac:dyDescent="0.25">
      <c r="B94" s="54" t="s">
        <v>83</v>
      </c>
      <c r="C94" s="43">
        <v>1.6899999999999998E-2</v>
      </c>
      <c r="D94" s="169">
        <f t="shared" si="45"/>
        <v>2.2441219689551178E-2</v>
      </c>
      <c r="E94" s="55">
        <f t="shared" si="38"/>
        <v>1.4661955888304618E-2</v>
      </c>
      <c r="F94" s="56">
        <f t="shared" si="39"/>
        <v>2.5712892682354018E-2</v>
      </c>
      <c r="G94" s="87">
        <f t="shared" si="40"/>
        <v>5.270159846490834E-3</v>
      </c>
      <c r="H94" s="133">
        <f t="shared" si="46"/>
        <v>0.23484284363316782</v>
      </c>
      <c r="I94" s="89">
        <f t="shared" si="41"/>
        <v>2.0624888694433553E-2</v>
      </c>
      <c r="J94" s="55">
        <f t="shared" si="42"/>
        <v>1.5697505741409493E-2</v>
      </c>
      <c r="K94" s="56">
        <f t="shared" si="43"/>
        <v>2.5391089788077831E-2</v>
      </c>
      <c r="L94" s="85">
        <f t="shared" si="44"/>
        <v>5.1798852572564006E-3</v>
      </c>
      <c r="M94" s="151">
        <f t="shared" si="47"/>
        <v>0.25114730721695477</v>
      </c>
      <c r="N94" s="39">
        <f t="shared" si="48"/>
        <v>7.7792638012465602E-3</v>
      </c>
      <c r="O94" s="39">
        <f t="shared" si="49"/>
        <v>3.2716729928028397E-3</v>
      </c>
      <c r="P94" s="39">
        <f t="shared" si="50"/>
        <v>4.92738295302406E-3</v>
      </c>
      <c r="Q94" s="39">
        <f t="shared" si="51"/>
        <v>4.7662010936442775E-3</v>
      </c>
      <c r="R94" s="156">
        <f t="shared" si="52"/>
        <v>1.3278828218669338</v>
      </c>
      <c r="S94" s="156">
        <f t="shared" si="53"/>
        <v>1.2204076150552399</v>
      </c>
      <c r="T94" s="39">
        <f t="shared" si="54"/>
        <v>1.8163309951176251E-3</v>
      </c>
      <c r="U94" s="241">
        <f t="shared" si="55"/>
        <v>1.10509367940494E-2</v>
      </c>
      <c r="V94" s="241">
        <f t="shared" si="56"/>
        <v>9.6935840466683375E-3</v>
      </c>
    </row>
    <row r="95" spans="2:24" x14ac:dyDescent="0.25">
      <c r="B95" s="51" t="s">
        <v>46</v>
      </c>
      <c r="C95" s="35">
        <v>2.3199999999999998E-2</v>
      </c>
      <c r="D95" s="52">
        <f t="shared" si="45"/>
        <v>3.0666799932600623E-2</v>
      </c>
      <c r="E95" s="52">
        <f t="shared" si="38"/>
        <v>9.4227435757513259E-3</v>
      </c>
      <c r="F95" s="53">
        <f t="shared" si="39"/>
        <v>4.4804615907116166E-2</v>
      </c>
      <c r="G95" s="86">
        <f t="shared" si="40"/>
        <v>1.5097048634571238E-2</v>
      </c>
      <c r="H95" s="134">
        <f t="shared" si="46"/>
        <v>0.49229292484874437</v>
      </c>
      <c r="I95" s="163">
        <f t="shared" si="41"/>
        <v>1.3635327018077936E-2</v>
      </c>
      <c r="J95" s="52">
        <f t="shared" si="42"/>
        <v>4.0401819700657069E-3</v>
      </c>
      <c r="K95" s="53">
        <f t="shared" si="43"/>
        <v>2.2334133994287488E-2</v>
      </c>
      <c r="L95" s="84">
        <f t="shared" si="44"/>
        <v>7.7107514294459927E-3</v>
      </c>
      <c r="M95" s="152">
        <f t="shared" si="47"/>
        <v>0.56549809324139821</v>
      </c>
      <c r="N95" s="39">
        <f t="shared" si="48"/>
        <v>2.1244056356849297E-2</v>
      </c>
      <c r="O95" s="39">
        <f t="shared" si="49"/>
        <v>1.4137815974515543E-2</v>
      </c>
      <c r="P95" s="39">
        <f t="shared" si="50"/>
        <v>9.595145048012229E-3</v>
      </c>
      <c r="Q95" s="39">
        <f t="shared" si="51"/>
        <v>8.6988069762095523E-3</v>
      </c>
      <c r="R95" s="156">
        <f t="shared" si="52"/>
        <v>1.3218448246810615</v>
      </c>
      <c r="S95" s="156">
        <f t="shared" si="53"/>
        <v>0.58772961284818692</v>
      </c>
      <c r="T95" s="39">
        <f t="shared" si="54"/>
        <v>1.7031472914522686E-2</v>
      </c>
      <c r="U95" s="39">
        <f t="shared" si="55"/>
        <v>3.538187233136484E-2</v>
      </c>
      <c r="V95" s="39">
        <f t="shared" si="56"/>
        <v>1.829395202422178E-2</v>
      </c>
    </row>
    <row r="96" spans="2:24" x14ac:dyDescent="0.25">
      <c r="B96" s="54" t="s">
        <v>47</v>
      </c>
      <c r="C96" s="43">
        <v>0.105</v>
      </c>
      <c r="D96" s="169">
        <f t="shared" si="45"/>
        <v>0.1406464820219136</v>
      </c>
      <c r="E96" s="55">
        <f t="shared" si="38"/>
        <v>8.0413437281105893E-2</v>
      </c>
      <c r="F96" s="56">
        <f t="shared" si="39"/>
        <v>0.2319256925702663</v>
      </c>
      <c r="G96" s="87">
        <f t="shared" si="40"/>
        <v>6.4481838588431067E-2</v>
      </c>
      <c r="H96" s="133">
        <f t="shared" si="46"/>
        <v>0.45846748287941103</v>
      </c>
      <c r="I96" s="168">
        <f t="shared" si="41"/>
        <v>9.1117902615440366E-2</v>
      </c>
      <c r="J96" s="55">
        <f t="shared" si="42"/>
        <v>3.8636865139158511E-2</v>
      </c>
      <c r="K96" s="56">
        <f t="shared" si="43"/>
        <v>0.15571698226306066</v>
      </c>
      <c r="L96" s="85">
        <f t="shared" si="44"/>
        <v>5.0969037183855606E-2</v>
      </c>
      <c r="M96" s="151">
        <f t="shared" si="47"/>
        <v>0.55937456548981912</v>
      </c>
      <c r="N96" s="39">
        <f t="shared" si="48"/>
        <v>6.0233044740807706E-2</v>
      </c>
      <c r="O96" s="39">
        <f t="shared" si="49"/>
        <v>9.1279210548352696E-2</v>
      </c>
      <c r="P96" s="39">
        <f t="shared" si="50"/>
        <v>5.2481037476281855E-2</v>
      </c>
      <c r="Q96" s="39">
        <f t="shared" si="51"/>
        <v>6.4599079647620294E-2</v>
      </c>
      <c r="R96" s="156">
        <f t="shared" si="52"/>
        <v>1.3394903049706057</v>
      </c>
      <c r="S96" s="156">
        <f t="shared" si="53"/>
        <v>0.86778954871847969</v>
      </c>
      <c r="T96" s="240">
        <f t="shared" si="54"/>
        <v>4.9528579406473233E-2</v>
      </c>
      <c r="U96" s="241">
        <f t="shared" si="55"/>
        <v>0.1515122552891604</v>
      </c>
      <c r="V96" s="241">
        <f t="shared" si="56"/>
        <v>0.11708011712390215</v>
      </c>
      <c r="X96" t="s">
        <v>137</v>
      </c>
    </row>
    <row r="97" spans="2:22" x14ac:dyDescent="0.25">
      <c r="B97" s="51" t="s">
        <v>50</v>
      </c>
      <c r="C97" s="35">
        <v>0.1143</v>
      </c>
      <c r="D97" s="52">
        <f t="shared" si="45"/>
        <v>0.17720651780450949</v>
      </c>
      <c r="E97" s="52">
        <f t="shared" si="38"/>
        <v>0.12841046358544048</v>
      </c>
      <c r="F97" s="53">
        <f t="shared" si="39"/>
        <v>0.21436659405416794</v>
      </c>
      <c r="G97" s="86">
        <f t="shared" si="40"/>
        <v>3.5872447203015155E-2</v>
      </c>
      <c r="H97" s="134">
        <f t="shared" si="46"/>
        <v>0.20243300104000059</v>
      </c>
      <c r="I97" s="163">
        <f t="shared" si="41"/>
        <v>0.16204156295790081</v>
      </c>
      <c r="J97" s="52">
        <f t="shared" si="42"/>
        <v>9.7802962865692594E-2</v>
      </c>
      <c r="K97" s="53">
        <f t="shared" si="43"/>
        <v>0.22611986751277768</v>
      </c>
      <c r="L97" s="84">
        <f t="shared" si="44"/>
        <v>5.4267700346819978E-2</v>
      </c>
      <c r="M97" s="152">
        <f t="shared" si="47"/>
        <v>0.33489988220441314</v>
      </c>
      <c r="N97" s="39">
        <f t="shared" si="48"/>
        <v>4.8796054219069018E-2</v>
      </c>
      <c r="O97" s="39">
        <f t="shared" si="49"/>
        <v>3.7160076249658447E-2</v>
      </c>
      <c r="P97" s="39">
        <f t="shared" si="50"/>
        <v>6.423860009220822E-2</v>
      </c>
      <c r="Q97" s="39">
        <f t="shared" si="51"/>
        <v>6.4078304554876869E-2</v>
      </c>
      <c r="R97" s="156">
        <f t="shared" si="52"/>
        <v>1.550363235385035</v>
      </c>
      <c r="S97" s="156">
        <f t="shared" si="53"/>
        <v>1.4176864650734979</v>
      </c>
      <c r="T97" s="39">
        <f t="shared" si="54"/>
        <v>1.516495484660868E-2</v>
      </c>
      <c r="U97" s="39">
        <f t="shared" si="55"/>
        <v>8.5956130468727465E-2</v>
      </c>
      <c r="V97" s="39">
        <f t="shared" si="56"/>
        <v>0.12831690464708509</v>
      </c>
    </row>
    <row r="98" spans="2:22" x14ac:dyDescent="0.25">
      <c r="B98" s="54" t="s">
        <v>56</v>
      </c>
      <c r="C98" s="43">
        <v>2.4400000000000002E-2</v>
      </c>
      <c r="D98" s="169">
        <f t="shared" si="45"/>
        <v>3.4200462818541909E-2</v>
      </c>
      <c r="E98" s="55">
        <f t="shared" si="38"/>
        <v>9.8874500529037655E-3</v>
      </c>
      <c r="F98" s="56">
        <f t="shared" si="39"/>
        <v>6.9502255549022063E-2</v>
      </c>
      <c r="G98" s="87">
        <f t="shared" si="40"/>
        <v>2.5555279871479038E-2</v>
      </c>
      <c r="H98" s="133">
        <f t="shared" si="46"/>
        <v>0.74722029368632248</v>
      </c>
      <c r="I98" s="168">
        <f t="shared" si="41"/>
        <v>1.9499067400899277E-2</v>
      </c>
      <c r="J98" s="55">
        <f t="shared" si="42"/>
        <v>8.2990406694630446E-3</v>
      </c>
      <c r="K98" s="56">
        <f t="shared" si="43"/>
        <v>2.8455147455779383E-2</v>
      </c>
      <c r="L98" s="85">
        <f t="shared" si="44"/>
        <v>9.4623801166244387E-3</v>
      </c>
      <c r="M98" s="151">
        <f t="shared" si="47"/>
        <v>0.48527347088343536</v>
      </c>
      <c r="N98" s="39">
        <f t="shared" si="48"/>
        <v>2.4313012765638145E-2</v>
      </c>
      <c r="O98" s="39">
        <f t="shared" si="49"/>
        <v>3.5301792730480154E-2</v>
      </c>
      <c r="P98" s="39">
        <f t="shared" si="50"/>
        <v>1.1200026731436233E-2</v>
      </c>
      <c r="Q98" s="39">
        <f t="shared" si="51"/>
        <v>8.9560800548801056E-3</v>
      </c>
      <c r="R98" s="156">
        <f t="shared" si="52"/>
        <v>1.4016583122353241</v>
      </c>
      <c r="S98" s="156">
        <f t="shared" si="53"/>
        <v>0.79914210659423268</v>
      </c>
      <c r="T98" s="240">
        <f t="shared" si="54"/>
        <v>1.4701395417642631E-2</v>
      </c>
      <c r="U98" s="241">
        <f t="shared" si="55"/>
        <v>5.9614805496118299E-2</v>
      </c>
      <c r="V98" s="241">
        <f t="shared" si="56"/>
        <v>2.0156106786316338E-2</v>
      </c>
    </row>
    <row r="99" spans="2:22" x14ac:dyDescent="0.25">
      <c r="B99" s="51" t="s">
        <v>57</v>
      </c>
      <c r="C99" s="35">
        <v>5.7500000000000002E-2</v>
      </c>
      <c r="D99" s="52">
        <f t="shared" si="45"/>
        <v>7.1463329145235982E-2</v>
      </c>
      <c r="E99" s="52">
        <f t="shared" si="38"/>
        <v>5.905224377891366E-2</v>
      </c>
      <c r="F99" s="53">
        <f t="shared" si="39"/>
        <v>0.10273938370634643</v>
      </c>
      <c r="G99" s="86">
        <f t="shared" si="40"/>
        <v>2.09602921284286E-2</v>
      </c>
      <c r="H99" s="134">
        <f t="shared" si="46"/>
        <v>0.29330136699664083</v>
      </c>
      <c r="I99" s="163">
        <f t="shared" si="41"/>
        <v>7.5326974715044875E-2</v>
      </c>
      <c r="J99" s="52">
        <f t="shared" si="42"/>
        <v>2.0495384347936355E-2</v>
      </c>
      <c r="K99" s="53">
        <f t="shared" si="43"/>
        <v>0.13567543019590206</v>
      </c>
      <c r="L99" s="84">
        <f t="shared" si="44"/>
        <v>4.7406183067298033E-2</v>
      </c>
      <c r="M99" s="152">
        <f t="shared" si="47"/>
        <v>0.62933873617825931</v>
      </c>
      <c r="N99" s="39">
        <f t="shared" si="48"/>
        <v>1.2411085366322322E-2</v>
      </c>
      <c r="O99" s="39">
        <f t="shared" si="49"/>
        <v>3.1276054561110447E-2</v>
      </c>
      <c r="P99" s="39">
        <f t="shared" si="50"/>
        <v>5.4831590367108524E-2</v>
      </c>
      <c r="Q99" s="39">
        <f t="shared" si="51"/>
        <v>6.0348455480857183E-2</v>
      </c>
      <c r="R99" s="156">
        <f t="shared" si="52"/>
        <v>1.2428405068736692</v>
      </c>
      <c r="S99" s="156">
        <f t="shared" si="53"/>
        <v>1.3100343428703456</v>
      </c>
      <c r="T99" s="240">
        <f t="shared" si="54"/>
        <v>-3.8636455698088934E-3</v>
      </c>
      <c r="U99" s="39">
        <f t="shared" si="55"/>
        <v>4.3687139927432769E-2</v>
      </c>
      <c r="V99" s="39">
        <f t="shared" si="56"/>
        <v>0.11518004584796571</v>
      </c>
    </row>
    <row r="100" spans="2:22" x14ac:dyDescent="0.25">
      <c r="B100" s="54" t="s">
        <v>60</v>
      </c>
      <c r="C100" s="43">
        <v>2.87E-2</v>
      </c>
      <c r="D100" s="55">
        <f t="shared" si="45"/>
        <v>4.627847245700447E-2</v>
      </c>
      <c r="E100" s="55">
        <f t="shared" si="38"/>
        <v>3.7884054676993892E-2</v>
      </c>
      <c r="F100" s="56">
        <f t="shared" si="39"/>
        <v>5.3151981953915309E-2</v>
      </c>
      <c r="G100" s="87">
        <f t="shared" si="40"/>
        <v>6.4070702239301764E-3</v>
      </c>
      <c r="H100" s="133">
        <f t="shared" si="46"/>
        <v>0.13844601785166388</v>
      </c>
      <c r="I100" s="168">
        <f t="shared" si="41"/>
        <v>2.5785349674334684E-2</v>
      </c>
      <c r="J100" s="55">
        <f t="shared" si="42"/>
        <v>6.0401894651027207E-3</v>
      </c>
      <c r="K100" s="56">
        <f t="shared" si="43"/>
        <v>4.2635398609429852E-2</v>
      </c>
      <c r="L100" s="85">
        <f t="shared" si="44"/>
        <v>1.50346923315258E-2</v>
      </c>
      <c r="M100" s="151">
        <f t="shared" si="47"/>
        <v>0.5830711051590084</v>
      </c>
      <c r="N100" s="39">
        <f t="shared" si="48"/>
        <v>8.3944177800105782E-3</v>
      </c>
      <c r="O100" s="39">
        <f t="shared" si="49"/>
        <v>6.8735094969108387E-3</v>
      </c>
      <c r="P100" s="39">
        <f t="shared" si="50"/>
        <v>1.9745160209231963E-2</v>
      </c>
      <c r="Q100" s="39">
        <f t="shared" si="51"/>
        <v>1.6850048935095167E-2</v>
      </c>
      <c r="R100" s="156">
        <f t="shared" si="52"/>
        <v>1.6124903295123509</v>
      </c>
      <c r="S100" s="156">
        <f t="shared" si="53"/>
        <v>0.89844423952385666</v>
      </c>
      <c r="T100" s="39">
        <f t="shared" si="54"/>
        <v>2.0493122782669786E-2</v>
      </c>
      <c r="U100" s="39">
        <f t="shared" si="55"/>
        <v>1.5267927276921417E-2</v>
      </c>
      <c r="V100" s="39">
        <f t="shared" si="56"/>
        <v>3.659520914432713E-2</v>
      </c>
    </row>
    <row r="101" spans="2:22" x14ac:dyDescent="0.25">
      <c r="B101" s="51" t="s">
        <v>67</v>
      </c>
      <c r="C101" s="35">
        <v>2.5700000000000001E-2</v>
      </c>
      <c r="D101" s="162">
        <f t="shared" si="45"/>
        <v>1.6672269559924128E-2</v>
      </c>
      <c r="E101" s="52">
        <f t="shared" si="38"/>
        <v>0</v>
      </c>
      <c r="F101" s="53">
        <f t="shared" si="39"/>
        <v>6.4179741168242502E-2</v>
      </c>
      <c r="G101" s="86">
        <f t="shared" si="40"/>
        <v>3.1693730504342564E-2</v>
      </c>
      <c r="H101" s="134">
        <f t="shared" si="46"/>
        <v>1.9009847693757416</v>
      </c>
      <c r="I101" s="163">
        <f t="shared" si="41"/>
        <v>2.2647847089857929E-2</v>
      </c>
      <c r="J101" s="52">
        <f t="shared" si="42"/>
        <v>6.8760967898570833E-3</v>
      </c>
      <c r="K101" s="53">
        <f t="shared" si="43"/>
        <v>5.0706089774172763E-2</v>
      </c>
      <c r="L101" s="84">
        <f t="shared" si="44"/>
        <v>1.9316613827052593E-2</v>
      </c>
      <c r="M101" s="152">
        <f t="shared" si="47"/>
        <v>0.85291170283920203</v>
      </c>
      <c r="N101" s="39">
        <f t="shared" si="48"/>
        <v>1.6672269559924128E-2</v>
      </c>
      <c r="O101" s="39">
        <f t="shared" si="49"/>
        <v>4.7507471608318377E-2</v>
      </c>
      <c r="P101" s="39">
        <f t="shared" si="50"/>
        <v>1.5771750300000845E-2</v>
      </c>
      <c r="Q101" s="39">
        <f t="shared" si="51"/>
        <v>2.8058242684314835E-2</v>
      </c>
      <c r="R101" s="156">
        <f t="shared" si="52"/>
        <v>0.64872644202039409</v>
      </c>
      <c r="S101" s="156">
        <f t="shared" si="53"/>
        <v>0.8812391863757949</v>
      </c>
      <c r="T101" s="39">
        <f t="shared" si="54"/>
        <v>-5.975577529933801E-3</v>
      </c>
      <c r="U101" s="39">
        <f t="shared" si="55"/>
        <v>6.4179741168242502E-2</v>
      </c>
      <c r="V101" s="39">
        <f t="shared" si="56"/>
        <v>4.3829992984315683E-2</v>
      </c>
    </row>
    <row r="102" spans="2:22" x14ac:dyDescent="0.25">
      <c r="B102" s="54" t="s">
        <v>69</v>
      </c>
      <c r="C102" s="43">
        <v>8.0999999999999996E-3</v>
      </c>
      <c r="D102" s="169">
        <f t="shared" si="45"/>
        <v>9.8566094935321081E-3</v>
      </c>
      <c r="E102" s="55">
        <f t="shared" si="38"/>
        <v>0</v>
      </c>
      <c r="F102" s="56">
        <f t="shared" si="39"/>
        <v>2.0884833507067463E-2</v>
      </c>
      <c r="G102" s="87">
        <f t="shared" si="40"/>
        <v>8.6322269896747812E-3</v>
      </c>
      <c r="H102" s="133">
        <f t="shared" si="46"/>
        <v>0.87578056078403377</v>
      </c>
      <c r="I102" s="255">
        <f t="shared" si="41"/>
        <v>3.2665382921151847E-3</v>
      </c>
      <c r="J102" s="55">
        <f t="shared" si="42"/>
        <v>1.0412506652248937E-3</v>
      </c>
      <c r="K102" s="56">
        <f t="shared" si="43"/>
        <v>6.3975951057706299E-3</v>
      </c>
      <c r="L102" s="85">
        <f t="shared" si="44"/>
        <v>2.3444754484744437E-3</v>
      </c>
      <c r="M102" s="151">
        <f t="shared" si="47"/>
        <v>0.71772477124593059</v>
      </c>
      <c r="N102" s="39">
        <f t="shared" si="48"/>
        <v>9.8566094935321081E-3</v>
      </c>
      <c r="O102" s="39">
        <f t="shared" si="49"/>
        <v>1.1028224013535355E-2</v>
      </c>
      <c r="P102" s="39">
        <f t="shared" si="50"/>
        <v>2.2252876268902908E-3</v>
      </c>
      <c r="Q102" s="39">
        <f t="shared" si="51"/>
        <v>3.1310568136554452E-3</v>
      </c>
      <c r="R102" s="156">
        <f t="shared" si="52"/>
        <v>1.2168653695718652</v>
      </c>
      <c r="S102" s="156">
        <f t="shared" si="53"/>
        <v>0.40327633235989935</v>
      </c>
      <c r="T102" s="39">
        <f t="shared" si="54"/>
        <v>6.5900712014169234E-3</v>
      </c>
      <c r="U102" s="39">
        <f t="shared" si="55"/>
        <v>2.0884833507067463E-2</v>
      </c>
      <c r="V102" s="39">
        <f t="shared" si="56"/>
        <v>5.356344440545736E-3</v>
      </c>
    </row>
    <row r="103" spans="2:22" x14ac:dyDescent="0.25">
      <c r="B103" s="57" t="s">
        <v>74</v>
      </c>
      <c r="C103" s="35">
        <v>0.12670000000000001</v>
      </c>
      <c r="D103" s="256">
        <f t="shared" si="45"/>
        <v>4.2682156046627173E-2</v>
      </c>
      <c r="E103" s="52">
        <f t="shared" si="38"/>
        <v>3.5976173520533311E-2</v>
      </c>
      <c r="F103" s="53">
        <f t="shared" si="39"/>
        <v>5.0988710495986335E-2</v>
      </c>
      <c r="G103" s="86">
        <f t="shared" si="40"/>
        <v>6.9274493581602476E-3</v>
      </c>
      <c r="H103" s="134">
        <f t="shared" si="46"/>
        <v>0.16230317303072764</v>
      </c>
      <c r="I103" s="254">
        <f t="shared" si="41"/>
        <v>5.6423263507313304E-2</v>
      </c>
      <c r="J103" s="52">
        <f t="shared" si="42"/>
        <v>4.7122606662369337E-2</v>
      </c>
      <c r="K103" s="53">
        <f t="shared" si="43"/>
        <v>6.3829906547245685E-2</v>
      </c>
      <c r="L103" s="84">
        <f t="shared" si="44"/>
        <v>7.0387677836676269E-3</v>
      </c>
      <c r="M103" s="152">
        <f t="shared" si="47"/>
        <v>0.12474939140582141</v>
      </c>
      <c r="N103" s="39">
        <f t="shared" si="48"/>
        <v>6.7059825260938621E-3</v>
      </c>
      <c r="O103" s="39">
        <f t="shared" si="49"/>
        <v>8.3065544493591617E-3</v>
      </c>
      <c r="P103" s="39">
        <f t="shared" si="50"/>
        <v>9.3006568449439664E-3</v>
      </c>
      <c r="Q103" s="39">
        <f t="shared" si="51"/>
        <v>7.4066430399323813E-3</v>
      </c>
      <c r="R103" s="156">
        <f t="shared" si="52"/>
        <v>0.33687573833170614</v>
      </c>
      <c r="S103" s="156">
        <f t="shared" si="53"/>
        <v>0.44532962515637964</v>
      </c>
      <c r="T103" s="39">
        <f t="shared" si="54"/>
        <v>-1.3741107460686131E-2</v>
      </c>
      <c r="U103" s="39">
        <f t="shared" si="55"/>
        <v>1.5012536975453024E-2</v>
      </c>
      <c r="V103" s="39">
        <f t="shared" si="56"/>
        <v>1.6707299884876348E-2</v>
      </c>
    </row>
    <row r="105" spans="2:22" x14ac:dyDescent="0.25">
      <c r="C105" s="523" t="s">
        <v>91</v>
      </c>
      <c r="D105" s="523"/>
      <c r="E105" s="523"/>
      <c r="F105" s="523"/>
      <c r="G105" s="523"/>
      <c r="H105" s="523" t="s">
        <v>92</v>
      </c>
      <c r="I105" s="523"/>
      <c r="J105" s="523"/>
      <c r="K105" s="523"/>
      <c r="L105" s="523"/>
    </row>
    <row r="106" spans="2:22" ht="25.5" x14ac:dyDescent="0.25">
      <c r="C106" s="114" t="s">
        <v>103</v>
      </c>
      <c r="D106" s="114" t="s">
        <v>104</v>
      </c>
      <c r="E106" s="114" t="s">
        <v>105</v>
      </c>
      <c r="F106" s="114" t="s">
        <v>113</v>
      </c>
      <c r="G106" s="114" t="s">
        <v>114</v>
      </c>
      <c r="H106" s="114" t="s">
        <v>103</v>
      </c>
      <c r="I106" s="114" t="s">
        <v>104</v>
      </c>
      <c r="J106" s="114" t="s">
        <v>105</v>
      </c>
      <c r="K106" s="114" t="s">
        <v>113</v>
      </c>
      <c r="L106" s="114" t="s">
        <v>114</v>
      </c>
    </row>
    <row r="107" spans="2:22" x14ac:dyDescent="0.25">
      <c r="B107" s="51" t="s">
        <v>82</v>
      </c>
      <c r="C107" s="115">
        <f t="shared" ref="C107:C119" si="57">D91+SQRT((1/0.05)-1)*(G91/SQRT(4))</f>
        <v>0.34652831113841764</v>
      </c>
      <c r="D107" s="67">
        <f t="shared" ref="D107:D119" si="58">D91-(SQRT((1/0.05)-1)*G91/SQRT(4))</f>
        <v>7.0267541384874566E-2</v>
      </c>
      <c r="E107" s="67">
        <f t="shared" ref="E107:E119" si="59">SQRT((1/0.05)-1)*(G91/SQRT(4))</f>
        <v>0.13813038487677154</v>
      </c>
      <c r="F107" s="115">
        <f>(C107-D107)/2</f>
        <v>0.13813038487677154</v>
      </c>
      <c r="G107" s="67">
        <f t="shared" ref="G107:G119" si="60">F107/D91</f>
        <v>0.6628203425755167</v>
      </c>
      <c r="H107" s="67">
        <f t="shared" ref="H107:H119" si="61">I91+SQRT((1/0.05)-1)*(L91/SQRT(4))</f>
        <v>0.69459841016734059</v>
      </c>
      <c r="I107" s="67">
        <f t="shared" ref="I107:I119" si="62">I91-(SQRT((1/0.05)-1)*L91/SQRT(4))</f>
        <v>-0.11859720183374611</v>
      </c>
      <c r="J107" s="115">
        <f t="shared" ref="J107:J119" si="63">SQRT((1/0.05)-1)*(L91/SQRT(4))</f>
        <v>0.40659780600054335</v>
      </c>
      <c r="K107" s="115">
        <f>(H107-I107)/2</f>
        <v>0.40659780600054335</v>
      </c>
      <c r="L107" s="115">
        <f t="shared" ref="L107:L119" si="64">K107/I91</f>
        <v>1.411794975836439</v>
      </c>
    </row>
    <row r="108" spans="2:22" x14ac:dyDescent="0.25">
      <c r="B108" s="54" t="s">
        <v>31</v>
      </c>
      <c r="C108" s="116">
        <f t="shared" si="57"/>
        <v>0.21260090826883712</v>
      </c>
      <c r="D108" s="117">
        <f t="shared" si="58"/>
        <v>4.5293342748023074E-2</v>
      </c>
      <c r="E108" s="117">
        <f t="shared" si="59"/>
        <v>8.3653782760407025E-2</v>
      </c>
      <c r="F108" s="116">
        <f t="shared" ref="F108:F119" si="65">(C108-D108)/2</f>
        <v>8.3653782760407025E-2</v>
      </c>
      <c r="G108" s="117">
        <f t="shared" si="60"/>
        <v>0.64874484352067263</v>
      </c>
      <c r="H108" s="117">
        <f t="shared" si="61"/>
        <v>0.45336517643854063</v>
      </c>
      <c r="I108" s="117">
        <f t="shared" si="62"/>
        <v>-0.16819618138540776</v>
      </c>
      <c r="J108" s="116">
        <f t="shared" si="63"/>
        <v>0.3107806789119742</v>
      </c>
      <c r="K108" s="116">
        <f t="shared" ref="K108:K119" si="66">(H108-I108)/2</f>
        <v>0.3107806789119742</v>
      </c>
      <c r="L108" s="118">
        <f t="shared" si="64"/>
        <v>2.1796246036780356</v>
      </c>
    </row>
    <row r="109" spans="2:22" x14ac:dyDescent="0.25">
      <c r="B109" s="51" t="s">
        <v>37</v>
      </c>
      <c r="C109" s="115">
        <f t="shared" si="57"/>
        <v>0.11316294066107688</v>
      </c>
      <c r="D109" s="67">
        <f t="shared" si="58"/>
        <v>2.7920176333358998E-2</v>
      </c>
      <c r="E109" s="67">
        <f t="shared" si="59"/>
        <v>4.262138216385894E-2</v>
      </c>
      <c r="F109" s="115">
        <f t="shared" si="65"/>
        <v>4.262138216385894E-2</v>
      </c>
      <c r="G109" s="67">
        <f t="shared" si="60"/>
        <v>0.60420244564826098</v>
      </c>
      <c r="H109" s="67">
        <f t="shared" si="61"/>
        <v>0.12162888409665461</v>
      </c>
      <c r="I109" s="67">
        <f t="shared" si="62"/>
        <v>3.6625964467618358E-2</v>
      </c>
      <c r="J109" s="115">
        <f t="shared" si="63"/>
        <v>4.2501459814518125E-2</v>
      </c>
      <c r="K109" s="115">
        <f t="shared" si="66"/>
        <v>4.2501459814518125E-2</v>
      </c>
      <c r="L109" s="115">
        <f t="shared" si="64"/>
        <v>0.53712679516743855</v>
      </c>
    </row>
    <row r="110" spans="2:22" x14ac:dyDescent="0.25">
      <c r="B110" s="54" t="s">
        <v>83</v>
      </c>
      <c r="C110" s="116">
        <f t="shared" si="57"/>
        <v>3.3927266783130863E-2</v>
      </c>
      <c r="D110" s="117">
        <f t="shared" si="58"/>
        <v>1.095517259597149E-2</v>
      </c>
      <c r="E110" s="117">
        <f t="shared" si="59"/>
        <v>1.1486047093579688E-2</v>
      </c>
      <c r="F110" s="116">
        <f t="shared" si="65"/>
        <v>1.1486047093579687E-2</v>
      </c>
      <c r="G110" s="117">
        <f t="shared" si="60"/>
        <v>0.51182811150535135</v>
      </c>
      <c r="H110" s="117">
        <f t="shared" si="61"/>
        <v>3.1914186882191969E-2</v>
      </c>
      <c r="I110" s="117">
        <f t="shared" si="62"/>
        <v>9.3355905066751354E-3</v>
      </c>
      <c r="J110" s="116">
        <f t="shared" si="63"/>
        <v>1.1289298187758418E-2</v>
      </c>
      <c r="K110" s="116">
        <f>(H110-I110)/2</f>
        <v>1.1289298187758416E-2</v>
      </c>
      <c r="L110" s="116">
        <f t="shared" si="64"/>
        <v>0.54736286605053452</v>
      </c>
    </row>
    <row r="111" spans="2:22" x14ac:dyDescent="0.25">
      <c r="B111" s="51" t="s">
        <v>46</v>
      </c>
      <c r="C111" s="115">
        <f t="shared" si="57"/>
        <v>6.3570054604507986E-2</v>
      </c>
      <c r="D111" s="67">
        <f t="shared" si="58"/>
        <v>-2.2364547393067466E-3</v>
      </c>
      <c r="E111" s="67">
        <f t="shared" si="59"/>
        <v>3.290325467190737E-2</v>
      </c>
      <c r="F111" s="115">
        <f t="shared" si="65"/>
        <v>3.290325467190737E-2</v>
      </c>
      <c r="G111" s="67">
        <f t="shared" si="60"/>
        <v>1.0729275550178701</v>
      </c>
      <c r="H111" s="67">
        <f t="shared" si="61"/>
        <v>3.0440520147936377E-2</v>
      </c>
      <c r="I111" s="67">
        <f t="shared" si="62"/>
        <v>-3.1698661117805036E-3</v>
      </c>
      <c r="J111" s="115">
        <f t="shared" si="63"/>
        <v>1.6805193129858439E-2</v>
      </c>
      <c r="K111" s="115">
        <f t="shared" si="66"/>
        <v>1.6805193129858439E-2</v>
      </c>
      <c r="L111" s="115">
        <f t="shared" si="64"/>
        <v>1.2324745206020982</v>
      </c>
    </row>
    <row r="112" spans="2:22" x14ac:dyDescent="0.25">
      <c r="B112" s="54" t="s">
        <v>47</v>
      </c>
      <c r="C112" s="116">
        <f t="shared" si="57"/>
        <v>0.28118139107224982</v>
      </c>
      <c r="D112" s="117">
        <f t="shared" si="58"/>
        <v>1.1157297157737833E-4</v>
      </c>
      <c r="E112" s="117">
        <f t="shared" si="59"/>
        <v>0.14053490905033622</v>
      </c>
      <c r="F112" s="116">
        <f t="shared" si="65"/>
        <v>0.14053490905033622</v>
      </c>
      <c r="G112" s="117">
        <f t="shared" si="60"/>
        <v>0.99920671338540845</v>
      </c>
      <c r="H112" s="117">
        <f t="shared" si="61"/>
        <v>0.20220234378243712</v>
      </c>
      <c r="I112" s="117">
        <f t="shared" si="62"/>
        <v>-1.9966538551556404E-2</v>
      </c>
      <c r="J112" s="116">
        <f t="shared" si="63"/>
        <v>0.11108444116699677</v>
      </c>
      <c r="K112" s="116">
        <f t="shared" si="66"/>
        <v>0.11108444116699676</v>
      </c>
      <c r="L112" s="116">
        <f t="shared" si="64"/>
        <v>1.2191286012785478</v>
      </c>
    </row>
    <row r="113" spans="1:14" x14ac:dyDescent="0.25">
      <c r="B113" s="51" t="s">
        <v>50</v>
      </c>
      <c r="C113" s="115">
        <f t="shared" si="57"/>
        <v>0.25538870391223017</v>
      </c>
      <c r="D113" s="67">
        <f t="shared" si="58"/>
        <v>9.9024331696788814E-2</v>
      </c>
      <c r="E113" s="67">
        <f t="shared" si="59"/>
        <v>7.818218610772068E-2</v>
      </c>
      <c r="F113" s="115">
        <f t="shared" si="65"/>
        <v>7.818218610772068E-2</v>
      </c>
      <c r="G113" s="68">
        <f t="shared" si="60"/>
        <v>0.44119249718551334</v>
      </c>
      <c r="H113" s="67">
        <f t="shared" si="61"/>
        <v>0.28031527381296856</v>
      </c>
      <c r="I113" s="67">
        <f t="shared" si="62"/>
        <v>4.3767852102833085E-2</v>
      </c>
      <c r="J113" s="115">
        <f t="shared" si="63"/>
        <v>0.11827371085506773</v>
      </c>
      <c r="K113" s="115">
        <f t="shared" si="66"/>
        <v>0.11827371085506774</v>
      </c>
      <c r="L113" s="115">
        <f t="shared" si="64"/>
        <v>0.72989737136635635</v>
      </c>
    </row>
    <row r="114" spans="1:14" x14ac:dyDescent="0.25">
      <c r="B114" s="54" t="s">
        <v>56</v>
      </c>
      <c r="C114" s="116">
        <f t="shared" si="57"/>
        <v>8.9896904035380032E-2</v>
      </c>
      <c r="D114" s="117">
        <f t="shared" si="58"/>
        <v>-2.1495978398296207E-2</v>
      </c>
      <c r="E114" s="117">
        <f t="shared" si="59"/>
        <v>5.5696441216838116E-2</v>
      </c>
      <c r="F114" s="116">
        <f t="shared" si="65"/>
        <v>5.5696441216838116E-2</v>
      </c>
      <c r="G114" s="117">
        <f t="shared" si="60"/>
        <v>1.6285288743707318</v>
      </c>
      <c r="H114" s="117">
        <f t="shared" si="61"/>
        <v>4.0121846747766546E-2</v>
      </c>
      <c r="I114" s="117">
        <f t="shared" si="62"/>
        <v>-1.1237119459679944E-3</v>
      </c>
      <c r="J114" s="116">
        <f t="shared" si="63"/>
        <v>2.0622779346867272E-2</v>
      </c>
      <c r="K114" s="116">
        <f t="shared" si="66"/>
        <v>2.0622779346867272E-2</v>
      </c>
      <c r="L114" s="116">
        <f t="shared" si="64"/>
        <v>1.0576290097810612</v>
      </c>
    </row>
    <row r="115" spans="1:14" x14ac:dyDescent="0.25">
      <c r="B115" s="51" t="s">
        <v>57</v>
      </c>
      <c r="C115" s="115">
        <f t="shared" si="57"/>
        <v>0.11714522675269165</v>
      </c>
      <c r="D115" s="67">
        <f t="shared" si="58"/>
        <v>2.5781431537780321E-2</v>
      </c>
      <c r="E115" s="67">
        <f t="shared" si="59"/>
        <v>4.5681897607455661E-2</v>
      </c>
      <c r="F115" s="115">
        <f t="shared" si="65"/>
        <v>4.5681897607455668E-2</v>
      </c>
      <c r="G115" s="67">
        <f t="shared" si="60"/>
        <v>0.63923550937034668</v>
      </c>
      <c r="H115" s="67">
        <f t="shared" si="61"/>
        <v>0.17864635535971546</v>
      </c>
      <c r="I115" s="67">
        <f t="shared" si="62"/>
        <v>-2.7992405929625722E-2</v>
      </c>
      <c r="J115" s="115">
        <f t="shared" si="63"/>
        <v>0.1033193806446706</v>
      </c>
      <c r="K115" s="115">
        <f t="shared" si="66"/>
        <v>0.10331938064467058</v>
      </c>
      <c r="L115" s="115">
        <f t="shared" si="64"/>
        <v>1.3716119761283185</v>
      </c>
    </row>
    <row r="116" spans="1:14" x14ac:dyDescent="0.25">
      <c r="B116" s="54" t="s">
        <v>60</v>
      </c>
      <c r="C116" s="116">
        <f t="shared" si="57"/>
        <v>6.0242358272144546E-2</v>
      </c>
      <c r="D116" s="117">
        <f t="shared" si="58"/>
        <v>3.2314586641864394E-2</v>
      </c>
      <c r="E116" s="117">
        <f t="shared" si="59"/>
        <v>1.3963885815140077E-2</v>
      </c>
      <c r="F116" s="116">
        <f t="shared" si="65"/>
        <v>1.3963885815140076E-2</v>
      </c>
      <c r="G116" s="117">
        <f t="shared" si="60"/>
        <v>0.30173610047551547</v>
      </c>
      <c r="H116" s="117">
        <f t="shared" si="61"/>
        <v>5.8552701934508129E-2</v>
      </c>
      <c r="I116" s="117">
        <f t="shared" si="62"/>
        <v>-6.9820025858387605E-3</v>
      </c>
      <c r="J116" s="116">
        <f t="shared" si="63"/>
        <v>3.2767352260173445E-2</v>
      </c>
      <c r="K116" s="116">
        <f t="shared" si="66"/>
        <v>3.2767352260173445E-2</v>
      </c>
      <c r="L116" s="116">
        <f t="shared" si="64"/>
        <v>1.2707740121433475</v>
      </c>
    </row>
    <row r="117" spans="1:14" x14ac:dyDescent="0.25">
      <c r="B117" s="51" t="s">
        <v>67</v>
      </c>
      <c r="C117" s="115">
        <f t="shared" si="57"/>
        <v>8.5747153766044942E-2</v>
      </c>
      <c r="D117" s="67">
        <f t="shared" si="58"/>
        <v>-5.2402614646196694E-2</v>
      </c>
      <c r="E117" s="67">
        <f t="shared" si="59"/>
        <v>6.9074884206120818E-2</v>
      </c>
      <c r="F117" s="115">
        <f t="shared" si="65"/>
        <v>6.9074884206120818E-2</v>
      </c>
      <c r="G117" s="67">
        <f t="shared" si="60"/>
        <v>4.1431002514594155</v>
      </c>
      <c r="H117" s="67">
        <f t="shared" si="61"/>
        <v>6.4747430891619287E-2</v>
      </c>
      <c r="I117" s="67">
        <f t="shared" si="62"/>
        <v>-1.9451736711903433E-2</v>
      </c>
      <c r="J117" s="115">
        <f t="shared" si="63"/>
        <v>4.2099583801761362E-2</v>
      </c>
      <c r="K117" s="115">
        <f t="shared" si="66"/>
        <v>4.2099583801761362E-2</v>
      </c>
      <c r="L117" s="115">
        <f t="shared" si="64"/>
        <v>1.8588779602196375</v>
      </c>
    </row>
    <row r="118" spans="1:14" x14ac:dyDescent="0.25">
      <c r="B118" s="54" t="s">
        <v>69</v>
      </c>
      <c r="C118" s="116">
        <f t="shared" si="57"/>
        <v>2.8670112046380453E-2</v>
      </c>
      <c r="D118" s="117">
        <f t="shared" si="58"/>
        <v>-8.9568930593162382E-3</v>
      </c>
      <c r="E118" s="117">
        <f t="shared" si="59"/>
        <v>1.8813502552848346E-2</v>
      </c>
      <c r="F118" s="116">
        <f t="shared" si="65"/>
        <v>1.8813502552848346E-2</v>
      </c>
      <c r="G118" s="117">
        <f t="shared" si="60"/>
        <v>1.9087194805874919</v>
      </c>
      <c r="H118" s="117">
        <f t="shared" si="61"/>
        <v>8.3762040698713361E-3</v>
      </c>
      <c r="I118" s="117">
        <f t="shared" si="62"/>
        <v>-1.8431274856409658E-3</v>
      </c>
      <c r="J118" s="116">
        <f t="shared" si="63"/>
        <v>5.1096657777561505E-3</v>
      </c>
      <c r="K118" s="116">
        <f t="shared" si="66"/>
        <v>5.1096657777561505E-3</v>
      </c>
      <c r="L118" s="116">
        <f t="shared" si="64"/>
        <v>1.5642448735684293</v>
      </c>
    </row>
    <row r="119" spans="1:14" x14ac:dyDescent="0.25">
      <c r="B119" s="57" t="s">
        <v>74</v>
      </c>
      <c r="C119" s="115">
        <f t="shared" si="57"/>
        <v>5.7780181890985285E-2</v>
      </c>
      <c r="D119" s="67">
        <f t="shared" si="58"/>
        <v>2.7584130202269061E-2</v>
      </c>
      <c r="E119" s="67">
        <f t="shared" si="59"/>
        <v>1.5098025844358112E-2</v>
      </c>
      <c r="F119" s="115">
        <f t="shared" si="65"/>
        <v>1.5098025844358112E-2</v>
      </c>
      <c r="G119" s="67">
        <f t="shared" si="60"/>
        <v>0.35373156472846895</v>
      </c>
      <c r="H119" s="67">
        <f t="shared" si="61"/>
        <v>7.1763902235341778E-2</v>
      </c>
      <c r="I119" s="67">
        <f t="shared" si="62"/>
        <v>4.1082624779284829E-2</v>
      </c>
      <c r="J119" s="115">
        <f t="shared" si="63"/>
        <v>1.5340638728028475E-2</v>
      </c>
      <c r="K119" s="115">
        <f t="shared" si="66"/>
        <v>1.5340638728028475E-2</v>
      </c>
      <c r="L119" s="115">
        <f t="shared" si="64"/>
        <v>0.27188499520308845</v>
      </c>
    </row>
    <row r="120" spans="1:14" x14ac:dyDescent="0.25">
      <c r="D120" s="39"/>
    </row>
    <row r="121" spans="1:14" x14ac:dyDescent="0.25">
      <c r="D121" s="39"/>
    </row>
    <row r="124" spans="1:14" ht="15.75" thickBot="1" x14ac:dyDescent="0.3"/>
    <row r="125" spans="1:14" ht="22.5" customHeight="1" x14ac:dyDescent="0.25">
      <c r="A125" s="208" t="s">
        <v>20</v>
      </c>
      <c r="B125" s="209" t="s">
        <v>21</v>
      </c>
      <c r="C125" s="210" t="s">
        <v>85</v>
      </c>
      <c r="D125" s="210" t="s">
        <v>92</v>
      </c>
      <c r="E125" s="211" t="s">
        <v>91</v>
      </c>
    </row>
    <row r="126" spans="1:14" ht="18" customHeight="1" x14ac:dyDescent="0.25">
      <c r="A126" s="520" t="s">
        <v>31</v>
      </c>
      <c r="B126" s="58" t="s">
        <v>33</v>
      </c>
      <c r="C126" s="83">
        <f>T12</f>
        <v>2.9638779161197198E-2</v>
      </c>
      <c r="D126" s="83">
        <f>V12</f>
        <v>2.6552121701005293E-2</v>
      </c>
      <c r="E126" s="212">
        <f>X12</f>
        <v>3.2725436621389103E-2</v>
      </c>
      <c r="F126" s="39"/>
      <c r="H126" s="39"/>
    </row>
    <row r="127" spans="1:14" ht="18" customHeight="1" x14ac:dyDescent="0.25">
      <c r="A127" s="521"/>
      <c r="B127" s="144" t="s">
        <v>34</v>
      </c>
      <c r="C127" s="145">
        <f>T13</f>
        <v>1.2991171520412612E-2</v>
      </c>
      <c r="D127" s="145">
        <f>V13</f>
        <v>6.1184774625435432E-3</v>
      </c>
      <c r="E127" s="213">
        <f>X13</f>
        <v>1.9863865578281677E-2</v>
      </c>
      <c r="F127" s="39"/>
    </row>
    <row r="128" spans="1:14" ht="18" customHeight="1" x14ac:dyDescent="0.25">
      <c r="A128" s="521"/>
      <c r="B128" s="207" t="s">
        <v>35</v>
      </c>
      <c r="C128" s="61">
        <f>T14</f>
        <v>4.8631735285605819E-2</v>
      </c>
      <c r="D128" s="61">
        <f>V14</f>
        <v>6.7718394820991304E-2</v>
      </c>
      <c r="E128" s="214">
        <f>X14</f>
        <v>2.9545075750220327E-2</v>
      </c>
      <c r="F128" s="39"/>
      <c r="J128" s="70"/>
      <c r="K128" s="71"/>
      <c r="L128" s="72"/>
      <c r="M128" s="72"/>
      <c r="N128" s="72"/>
    </row>
    <row r="129" spans="1:14" ht="18" customHeight="1" x14ac:dyDescent="0.25">
      <c r="A129" s="521"/>
      <c r="B129" s="81" t="str">
        <f>B11</f>
        <v>Emballages papier</v>
      </c>
      <c r="C129" s="64">
        <f>T11</f>
        <v>1.9966550355060089E-2</v>
      </c>
      <c r="D129" s="64">
        <f>V11</f>
        <v>2.4235819223891907E-2</v>
      </c>
      <c r="E129" s="215">
        <f>X11</f>
        <v>1.569728148622827E-2</v>
      </c>
      <c r="F129" s="39"/>
      <c r="J129" s="80"/>
      <c r="K129" s="73"/>
      <c r="L129" s="74"/>
      <c r="M129" s="74"/>
      <c r="N129" s="74"/>
    </row>
    <row r="130" spans="1:14" ht="18" customHeight="1" x14ac:dyDescent="0.25">
      <c r="A130" s="522"/>
      <c r="B130" s="82" t="str">
        <f>B15</f>
        <v xml:space="preserve">Autres papiers </v>
      </c>
      <c r="C130" s="65">
        <f>T15</f>
        <v>2.4537575195222538E-2</v>
      </c>
      <c r="D130" s="65">
        <f>V15</f>
        <v>1.7959684318134363E-2</v>
      </c>
      <c r="E130" s="216">
        <f>X15</f>
        <v>3.1115466072310711E-2</v>
      </c>
      <c r="F130" s="39"/>
      <c r="J130" s="80"/>
      <c r="K130" s="73"/>
      <c r="L130" s="74"/>
      <c r="M130" s="74"/>
      <c r="N130" s="74"/>
    </row>
    <row r="131" spans="1:14" ht="18" customHeight="1" x14ac:dyDescent="0.25">
      <c r="A131" s="520" t="s">
        <v>37</v>
      </c>
      <c r="B131" s="144" t="s">
        <v>38</v>
      </c>
      <c r="C131" s="145">
        <f>T16</f>
        <v>3.8242373770616567E-2</v>
      </c>
      <c r="D131" s="145">
        <f>V16</f>
        <v>3.2246532846097811E-2</v>
      </c>
      <c r="E131" s="213">
        <f>X16</f>
        <v>4.4238214695135329E-2</v>
      </c>
      <c r="F131" s="39"/>
      <c r="J131" s="80"/>
      <c r="K131" s="73"/>
      <c r="L131" s="74"/>
      <c r="M131" s="74"/>
      <c r="N131" s="74"/>
    </row>
    <row r="132" spans="1:14" ht="18" customHeight="1" x14ac:dyDescent="0.25">
      <c r="A132" s="521"/>
      <c r="B132" s="207" t="s">
        <v>39</v>
      </c>
      <c r="C132" s="61">
        <f>T17</f>
        <v>3.1036719737649977E-2</v>
      </c>
      <c r="D132" s="61">
        <f>V17</f>
        <v>4.0729855062816497E-2</v>
      </c>
      <c r="E132" s="214">
        <f>X17</f>
        <v>2.1343584412483452E-2</v>
      </c>
      <c r="F132" s="39"/>
      <c r="J132" s="80"/>
      <c r="K132" s="75"/>
      <c r="L132" s="74"/>
      <c r="M132" s="74"/>
      <c r="N132" s="74"/>
    </row>
    <row r="133" spans="1:14" ht="18" customHeight="1" x14ac:dyDescent="0.25">
      <c r="A133" s="522"/>
      <c r="B133" s="144" t="s">
        <v>40</v>
      </c>
      <c r="C133" s="145">
        <f>T18</f>
        <v>5.5553978814106703E-3</v>
      </c>
      <c r="D133" s="145">
        <f>V18</f>
        <v>6.1510363732221757E-3</v>
      </c>
      <c r="E133" s="213">
        <f>X18</f>
        <v>4.9597593895991639E-3</v>
      </c>
      <c r="F133" s="39"/>
      <c r="J133" s="80"/>
      <c r="K133" s="75"/>
      <c r="L133" s="74"/>
      <c r="M133" s="74"/>
      <c r="N133" s="74"/>
    </row>
    <row r="134" spans="1:14" ht="18" customHeight="1" x14ac:dyDescent="0.25">
      <c r="A134" s="529" t="s">
        <v>41</v>
      </c>
      <c r="B134" s="207" t="s">
        <v>42</v>
      </c>
      <c r="C134" s="146">
        <f>T19</f>
        <v>7.6485534113544347E-3</v>
      </c>
      <c r="D134" s="146">
        <f>V19</f>
        <v>7.3157886730777404E-3</v>
      </c>
      <c r="E134" s="217">
        <f>X19</f>
        <v>7.9813181496311281E-3</v>
      </c>
      <c r="F134" s="39"/>
      <c r="J134" s="80"/>
      <c r="K134" s="73"/>
      <c r="L134" s="74"/>
      <c r="M134" s="74"/>
      <c r="N134" s="74"/>
    </row>
    <row r="135" spans="1:14" ht="18" customHeight="1" x14ac:dyDescent="0.25">
      <c r="A135" s="529"/>
      <c r="B135" s="144" t="s">
        <v>44</v>
      </c>
      <c r="C135" s="145">
        <f>T21</f>
        <v>1.1279232339880488E-3</v>
      </c>
      <c r="D135" s="145">
        <f>V21</f>
        <v>1.0522053147355467E-3</v>
      </c>
      <c r="E135" s="213">
        <f>X21</f>
        <v>1.2036411532405508E-3</v>
      </c>
      <c r="F135" s="39"/>
      <c r="J135" s="80"/>
      <c r="K135" s="73"/>
      <c r="L135" s="74"/>
      <c r="M135" s="74"/>
      <c r="N135" s="74"/>
    </row>
    <row r="136" spans="1:14" ht="18" customHeight="1" x14ac:dyDescent="0.25">
      <c r="A136" s="529" t="s">
        <v>50</v>
      </c>
      <c r="B136" s="207" t="s">
        <v>52</v>
      </c>
      <c r="C136" s="61">
        <f>T27</f>
        <v>1.9218005782596827E-2</v>
      </c>
      <c r="D136" s="61">
        <f>V27</f>
        <v>1.6984894093961138E-2</v>
      </c>
      <c r="E136" s="214">
        <f>X27</f>
        <v>2.1451117471232514E-2</v>
      </c>
      <c r="F136" s="39"/>
      <c r="J136" s="80"/>
      <c r="K136" s="73"/>
      <c r="L136" s="74"/>
      <c r="M136" s="74"/>
      <c r="N136" s="74"/>
    </row>
    <row r="137" spans="1:14" ht="18" customHeight="1" x14ac:dyDescent="0.25">
      <c r="A137" s="529"/>
      <c r="B137" s="144" t="s">
        <v>53</v>
      </c>
      <c r="C137" s="145">
        <f>T28</f>
        <v>1.0239983393598547E-2</v>
      </c>
      <c r="D137" s="145">
        <f>V28</f>
        <v>6.0987364151766079E-3</v>
      </c>
      <c r="E137" s="213">
        <f>X28</f>
        <v>1.4381230372020487E-2</v>
      </c>
      <c r="F137" s="39"/>
      <c r="J137" s="80"/>
      <c r="K137" s="73"/>
      <c r="L137" s="74"/>
      <c r="M137" s="74"/>
      <c r="N137" s="74"/>
    </row>
    <row r="138" spans="1:14" ht="18" customHeight="1" x14ac:dyDescent="0.25">
      <c r="A138" s="529" t="s">
        <v>60</v>
      </c>
      <c r="B138" s="207" t="s">
        <v>61</v>
      </c>
      <c r="C138" s="146">
        <f>T34</f>
        <v>2.2048634160426305E-2</v>
      </c>
      <c r="D138" s="146">
        <f>V34</f>
        <v>1.3428691942247791E-2</v>
      </c>
      <c r="E138" s="217">
        <f>X34</f>
        <v>3.0668576378604821E-2</v>
      </c>
      <c r="F138" s="147"/>
      <c r="J138" s="70"/>
      <c r="K138" s="73"/>
      <c r="L138" s="74"/>
      <c r="M138" s="74"/>
      <c r="N138" s="74"/>
    </row>
    <row r="139" spans="1:14" ht="18" customHeight="1" x14ac:dyDescent="0.25">
      <c r="A139" s="529"/>
      <c r="B139" s="144" t="s">
        <v>62</v>
      </c>
      <c r="C139" s="145">
        <f>T35</f>
        <v>5.7329986857653737E-3</v>
      </c>
      <c r="D139" s="145">
        <f>V35</f>
        <v>6.1625505956775821E-3</v>
      </c>
      <c r="E139" s="213">
        <f>X35</f>
        <v>5.3034467758531663E-3</v>
      </c>
      <c r="F139" s="39"/>
      <c r="J139" s="80"/>
      <c r="K139" s="73"/>
      <c r="L139" s="74"/>
      <c r="M139" s="74"/>
      <c r="N139" s="74"/>
    </row>
    <row r="140" spans="1:14" ht="18" customHeight="1" x14ac:dyDescent="0.25">
      <c r="A140" s="529"/>
      <c r="B140" s="207" t="s">
        <v>63</v>
      </c>
      <c r="C140" s="146">
        <f>T36</f>
        <v>1.7617643395376804E-3</v>
      </c>
      <c r="D140" s="146">
        <f>V36</f>
        <v>2.1001650256953861E-3</v>
      </c>
      <c r="E140" s="217">
        <f>X36</f>
        <v>1.4233636533799744E-3</v>
      </c>
      <c r="F140" s="39"/>
      <c r="J140" s="80"/>
      <c r="K140" s="73"/>
      <c r="L140" s="74"/>
      <c r="M140" s="74"/>
      <c r="N140" s="74"/>
    </row>
    <row r="141" spans="1:14" ht="18" customHeight="1" x14ac:dyDescent="0.25">
      <c r="A141" s="529"/>
      <c r="B141" s="144" t="s">
        <v>64</v>
      </c>
      <c r="C141" s="145">
        <f>T37</f>
        <v>4.5852099761961303E-4</v>
      </c>
      <c r="D141" s="145">
        <f>V37</f>
        <v>9.1704199523922605E-4</v>
      </c>
      <c r="E141" s="213">
        <f>X37</f>
        <v>0</v>
      </c>
      <c r="F141" s="39"/>
      <c r="J141" s="80"/>
      <c r="K141" s="73"/>
      <c r="L141" s="74"/>
      <c r="M141" s="74"/>
      <c r="N141" s="74"/>
    </row>
    <row r="142" spans="1:14" ht="18" customHeight="1" x14ac:dyDescent="0.25">
      <c r="A142" s="218" t="s">
        <v>57</v>
      </c>
      <c r="B142" s="207" t="s">
        <v>58</v>
      </c>
      <c r="C142" s="61">
        <f>T32</f>
        <v>5.4907078073186309E-2</v>
      </c>
      <c r="D142" s="62">
        <f>V32</f>
        <v>5.1209821496482448E-2</v>
      </c>
      <c r="E142" s="219">
        <f>X32</f>
        <v>5.8604334649890157E-2</v>
      </c>
      <c r="F142" s="39"/>
      <c r="J142" s="80"/>
      <c r="K142" s="73"/>
      <c r="L142" s="74"/>
      <c r="M142" s="74"/>
      <c r="N142" s="74"/>
    </row>
    <row r="143" spans="1:14" ht="30" customHeight="1" thickBot="1" x14ac:dyDescent="0.3">
      <c r="A143" s="512" t="s">
        <v>102</v>
      </c>
      <c r="B143" s="513"/>
      <c r="C143" s="142">
        <f>SUM(C126:C142)</f>
        <v>0.3337437649852486</v>
      </c>
      <c r="D143" s="143">
        <f>SUM(D126:D142)</f>
        <v>0.32698181736099641</v>
      </c>
      <c r="E143" s="220">
        <f>SUM(E126:E142)</f>
        <v>0.34050571260950091</v>
      </c>
      <c r="F143" s="39"/>
      <c r="J143" s="80"/>
      <c r="K143" s="73"/>
      <c r="L143" s="74"/>
      <c r="M143" s="74"/>
      <c r="N143" s="74"/>
    </row>
    <row r="144" spans="1:14" ht="18" customHeight="1" x14ac:dyDescent="0.25">
      <c r="A144" s="218" t="s">
        <v>45</v>
      </c>
      <c r="B144" s="178" t="s">
        <v>46</v>
      </c>
      <c r="C144" s="179">
        <f>T23</f>
        <v>2.2151063475339277E-2</v>
      </c>
      <c r="D144" s="179">
        <f>V23</f>
        <v>1.3635327018077936E-2</v>
      </c>
      <c r="E144" s="221">
        <f>X23</f>
        <v>3.0666799932600623E-2</v>
      </c>
      <c r="F144" s="39"/>
      <c r="J144" s="80"/>
      <c r="K144" s="73"/>
      <c r="L144" s="74"/>
      <c r="M144" s="74"/>
      <c r="N144" s="74"/>
    </row>
    <row r="145" spans="1:14" ht="18" customHeight="1" x14ac:dyDescent="0.25">
      <c r="A145" s="530" t="s">
        <v>69</v>
      </c>
      <c r="B145" s="182" t="s">
        <v>121</v>
      </c>
      <c r="C145" s="183">
        <f>T41</f>
        <v>2.9176737969336785E-4</v>
      </c>
      <c r="D145" s="183">
        <f>V41</f>
        <v>0</v>
      </c>
      <c r="E145" s="222">
        <f>X41</f>
        <v>5.835347593867357E-4</v>
      </c>
      <c r="F145" s="39"/>
      <c r="J145" s="80"/>
      <c r="K145" s="73"/>
      <c r="L145" s="74"/>
      <c r="M145" s="74"/>
      <c r="N145" s="74"/>
    </row>
    <row r="146" spans="1:14" ht="28.5" customHeight="1" x14ac:dyDescent="0.25">
      <c r="A146" s="530"/>
      <c r="B146" s="181" t="s">
        <v>70</v>
      </c>
      <c r="C146" s="108">
        <f t="shared" ref="C146:C154" si="67">T42</f>
        <v>5.9344038149632529E-4</v>
      </c>
      <c r="D146" s="108">
        <f t="shared" ref="D146:D154" si="68">V42</f>
        <v>1.1868807629926506E-3</v>
      </c>
      <c r="E146" s="223">
        <f t="shared" ref="E146:E154" si="69">X42</f>
        <v>0</v>
      </c>
      <c r="F146" s="39"/>
      <c r="J146" s="80"/>
      <c r="K146" s="80"/>
      <c r="L146" s="76"/>
      <c r="M146" s="76"/>
      <c r="N146" s="76"/>
    </row>
    <row r="147" spans="1:14" ht="18" customHeight="1" x14ac:dyDescent="0.25">
      <c r="A147" s="530"/>
      <c r="B147" s="182" t="s">
        <v>71</v>
      </c>
      <c r="C147" s="183">
        <f t="shared" si="67"/>
        <v>3.4686391490420954E-3</v>
      </c>
      <c r="D147" s="183">
        <f t="shared" si="68"/>
        <v>1.2604137180377384E-3</v>
      </c>
      <c r="E147" s="222">
        <f t="shared" si="69"/>
        <v>5.6768645800464529E-3</v>
      </c>
      <c r="F147" s="39"/>
      <c r="J147" s="70"/>
      <c r="K147" s="73"/>
      <c r="L147" s="74"/>
      <c r="M147" s="74"/>
      <c r="N147" s="74"/>
    </row>
    <row r="148" spans="1:14" ht="18" customHeight="1" x14ac:dyDescent="0.25">
      <c r="A148" s="530"/>
      <c r="B148" s="181" t="s">
        <v>72</v>
      </c>
      <c r="C148" s="108">
        <f t="shared" si="67"/>
        <v>0</v>
      </c>
      <c r="D148" s="108">
        <f t="shared" si="68"/>
        <v>0</v>
      </c>
      <c r="E148" s="223">
        <f t="shared" si="69"/>
        <v>0</v>
      </c>
      <c r="F148" s="39"/>
      <c r="J148" s="70"/>
      <c r="K148" s="73"/>
      <c r="L148" s="74"/>
      <c r="M148" s="74"/>
      <c r="N148" s="74"/>
    </row>
    <row r="149" spans="1:14" ht="18" customHeight="1" x14ac:dyDescent="0.25">
      <c r="A149" s="530"/>
      <c r="B149" s="182" t="s">
        <v>122</v>
      </c>
      <c r="C149" s="183">
        <f t="shared" si="67"/>
        <v>1.1728513973075152E-4</v>
      </c>
      <c r="D149" s="183">
        <f t="shared" si="68"/>
        <v>0</v>
      </c>
      <c r="E149" s="222">
        <f t="shared" si="69"/>
        <v>2.3457027946150304E-4</v>
      </c>
      <c r="F149" s="39"/>
      <c r="J149" s="80"/>
      <c r="K149" s="73"/>
      <c r="L149" s="74"/>
      <c r="M149" s="74"/>
      <c r="N149" s="74"/>
    </row>
    <row r="150" spans="1:14" ht="18" customHeight="1" x14ac:dyDescent="0.25">
      <c r="A150" s="224"/>
      <c r="B150" s="181" t="s">
        <v>123</v>
      </c>
      <c r="C150" s="108">
        <f t="shared" si="67"/>
        <v>0</v>
      </c>
      <c r="D150" s="108">
        <f t="shared" si="68"/>
        <v>0</v>
      </c>
      <c r="E150" s="223">
        <f t="shared" si="69"/>
        <v>0</v>
      </c>
      <c r="F150" s="39"/>
      <c r="J150" s="80"/>
      <c r="K150" s="73"/>
      <c r="L150" s="74"/>
      <c r="M150" s="74"/>
      <c r="N150" s="74"/>
    </row>
    <row r="151" spans="1:14" ht="18" customHeight="1" x14ac:dyDescent="0.25">
      <c r="A151" s="224"/>
      <c r="B151" s="182" t="s">
        <v>124</v>
      </c>
      <c r="C151" s="183">
        <f t="shared" si="67"/>
        <v>9.7499999999999996E-4</v>
      </c>
      <c r="D151" s="183">
        <f t="shared" si="68"/>
        <v>0</v>
      </c>
      <c r="E151" s="222">
        <f t="shared" si="69"/>
        <v>1.9499999999999999E-3</v>
      </c>
      <c r="F151" s="39"/>
      <c r="J151" s="80"/>
      <c r="K151" s="73"/>
      <c r="L151" s="74"/>
      <c r="M151" s="74"/>
      <c r="N151" s="74"/>
    </row>
    <row r="152" spans="1:14" ht="18" customHeight="1" x14ac:dyDescent="0.25">
      <c r="A152" s="224"/>
      <c r="B152" s="181" t="s">
        <v>125</v>
      </c>
      <c r="C152" s="108">
        <f t="shared" si="67"/>
        <v>0</v>
      </c>
      <c r="D152" s="108">
        <f t="shared" si="68"/>
        <v>0</v>
      </c>
      <c r="E152" s="223">
        <f t="shared" si="69"/>
        <v>0</v>
      </c>
      <c r="F152" s="39"/>
      <c r="J152" s="80"/>
      <c r="K152" s="73"/>
      <c r="L152" s="74"/>
      <c r="M152" s="74"/>
      <c r="N152" s="74"/>
    </row>
    <row r="153" spans="1:14" ht="18" customHeight="1" x14ac:dyDescent="0.25">
      <c r="A153" s="224"/>
      <c r="B153" s="182" t="s">
        <v>126</v>
      </c>
      <c r="C153" s="183">
        <f t="shared" si="67"/>
        <v>8.6544184286110578E-4</v>
      </c>
      <c r="D153" s="183">
        <f t="shared" si="68"/>
        <v>3.1924381108479588E-4</v>
      </c>
      <c r="E153" s="222">
        <f t="shared" si="69"/>
        <v>1.4116398746374156E-3</v>
      </c>
      <c r="F153" s="39"/>
      <c r="J153" s="80"/>
      <c r="K153" s="73"/>
      <c r="L153" s="74"/>
      <c r="M153" s="74"/>
      <c r="N153" s="74"/>
    </row>
    <row r="154" spans="1:14" ht="18" customHeight="1" x14ac:dyDescent="0.25">
      <c r="A154" s="224"/>
      <c r="B154" s="181" t="s">
        <v>73</v>
      </c>
      <c r="C154" s="108">
        <f t="shared" si="67"/>
        <v>2.5000000000000001E-4</v>
      </c>
      <c r="D154" s="108">
        <f t="shared" si="68"/>
        <v>5.0000000000000001E-4</v>
      </c>
      <c r="E154" s="223">
        <f t="shared" si="69"/>
        <v>0</v>
      </c>
      <c r="F154" s="39"/>
      <c r="J154" s="80"/>
      <c r="K154" s="73"/>
      <c r="L154" s="74"/>
      <c r="M154" s="74"/>
      <c r="N154" s="74"/>
    </row>
    <row r="155" spans="1:14" ht="32.25" customHeight="1" thickBot="1" x14ac:dyDescent="0.3">
      <c r="A155" s="514" t="s">
        <v>101</v>
      </c>
      <c r="B155" s="515"/>
      <c r="C155" s="180">
        <f>SUM(C144:C154)</f>
        <v>2.8712637368162926E-2</v>
      </c>
      <c r="D155" s="180">
        <f>SUM(D144:D154)</f>
        <v>1.6901865310193123E-2</v>
      </c>
      <c r="E155" s="225">
        <f>SUM(E144:E154)</f>
        <v>4.0523409426132737E-2</v>
      </c>
      <c r="F155" s="39"/>
      <c r="J155" s="80"/>
      <c r="K155" s="73"/>
      <c r="L155" s="74"/>
      <c r="M155" s="74"/>
      <c r="N155" s="74"/>
    </row>
    <row r="156" spans="1:14" ht="18" customHeight="1" thickBot="1" x14ac:dyDescent="0.3">
      <c r="A156" s="516" t="s">
        <v>25</v>
      </c>
      <c r="B156" s="517"/>
      <c r="C156" s="226">
        <f>C143+C155</f>
        <v>0.36245640235341153</v>
      </c>
      <c r="D156" s="226">
        <f>D143+D155</f>
        <v>0.34388368267118952</v>
      </c>
      <c r="E156" s="227">
        <f>E143+E155</f>
        <v>0.38102912203563366</v>
      </c>
      <c r="J156" s="80"/>
      <c r="K156" s="73"/>
      <c r="L156" s="74"/>
      <c r="M156" s="74"/>
      <c r="N156" s="74"/>
    </row>
    <row r="157" spans="1:14" x14ac:dyDescent="0.25">
      <c r="J157" s="80"/>
      <c r="K157" s="73"/>
      <c r="L157" s="74"/>
      <c r="M157" s="74"/>
      <c r="N157" s="74"/>
    </row>
    <row r="158" spans="1:14" ht="38.25" customHeight="1" x14ac:dyDescent="0.25">
      <c r="B158" t="s">
        <v>96</v>
      </c>
      <c r="C158" s="39">
        <f>1-C156</f>
        <v>0.63754359764658841</v>
      </c>
      <c r="J158" s="80"/>
      <c r="K158" s="80"/>
      <c r="L158" s="76"/>
      <c r="M158" s="76"/>
      <c r="N158" s="76"/>
    </row>
    <row r="159" spans="1:14" x14ac:dyDescent="0.25">
      <c r="C159" s="39"/>
      <c r="J159" s="77"/>
      <c r="K159" s="78"/>
      <c r="L159" s="76"/>
      <c r="M159" s="76"/>
      <c r="N159" s="76"/>
    </row>
    <row r="160" spans="1:14" x14ac:dyDescent="0.25">
      <c r="B160" t="s">
        <v>131</v>
      </c>
      <c r="C160" s="39">
        <f>C143-C142</f>
        <v>0.27883668691206231</v>
      </c>
      <c r="J160" s="79"/>
      <c r="K160" s="79"/>
      <c r="L160" s="79"/>
      <c r="M160" s="79"/>
      <c r="N160" s="79"/>
    </row>
    <row r="161" spans="1:14" x14ac:dyDescent="0.25">
      <c r="B161" t="s">
        <v>57</v>
      </c>
      <c r="C161" s="39">
        <f>C142</f>
        <v>5.4907078073186309E-2</v>
      </c>
      <c r="J161" s="79"/>
      <c r="K161" s="79"/>
      <c r="L161" s="79"/>
      <c r="M161" s="79"/>
      <c r="N161" s="79"/>
    </row>
    <row r="162" spans="1:14" x14ac:dyDescent="0.25">
      <c r="B162" t="s">
        <v>45</v>
      </c>
      <c r="C162" s="39">
        <f>C144</f>
        <v>2.2151063475339277E-2</v>
      </c>
    </row>
    <row r="163" spans="1:14" x14ac:dyDescent="0.25">
      <c r="B163" t="s">
        <v>69</v>
      </c>
      <c r="C163" s="39">
        <f>SUM(C145:C154)</f>
        <v>6.561573892823646E-3</v>
      </c>
    </row>
    <row r="168" spans="1:14" x14ac:dyDescent="0.25">
      <c r="A168" s="184" t="str">
        <f>A5</f>
        <v>Catégories</v>
      </c>
      <c r="B168" s="148" t="str">
        <f>B5</f>
        <v>Sous-catégories</v>
      </c>
      <c r="C168" s="186" t="s">
        <v>85</v>
      </c>
      <c r="D168" s="149" t="s">
        <v>92</v>
      </c>
      <c r="E168" s="149" t="s">
        <v>91</v>
      </c>
    </row>
    <row r="169" spans="1:14" ht="15" customHeight="1" x14ac:dyDescent="0.25">
      <c r="A169" s="531" t="str">
        <f t="shared" ref="A169" si="70">A6</f>
        <v>Déchets putrescibles</v>
      </c>
      <c r="B169" s="182" t="s">
        <v>119</v>
      </c>
      <c r="C169" s="192">
        <f>T6</f>
        <v>8.4151613344665338E-2</v>
      </c>
      <c r="D169" s="193">
        <f>V6</f>
        <v>7.6987566426953397E-2</v>
      </c>
      <c r="E169" s="193">
        <f>X6</f>
        <v>9.1315660262377293E-2</v>
      </c>
    </row>
    <row r="170" spans="1:14" ht="17.25" customHeight="1" x14ac:dyDescent="0.25">
      <c r="A170" s="532"/>
      <c r="B170" s="181" t="s">
        <v>27</v>
      </c>
      <c r="C170" s="187">
        <f t="shared" ref="C170:C173" si="71">T7</f>
        <v>0.16007450417983859</v>
      </c>
      <c r="D170" s="63">
        <f t="shared" ref="D170:D173" si="72">V7</f>
        <v>0.20788077677829103</v>
      </c>
      <c r="E170" s="63">
        <f t="shared" ref="E170:E173" si="73">X7</f>
        <v>0.1122682315813861</v>
      </c>
    </row>
    <row r="171" spans="1:14" x14ac:dyDescent="0.25">
      <c r="A171" s="532"/>
      <c r="B171" s="182" t="s">
        <v>28</v>
      </c>
      <c r="C171" s="192">
        <f t="shared" si="71"/>
        <v>0</v>
      </c>
      <c r="D171" s="193">
        <f t="shared" si="72"/>
        <v>0</v>
      </c>
      <c r="E171" s="193">
        <f t="shared" si="73"/>
        <v>0</v>
      </c>
    </row>
    <row r="172" spans="1:14" x14ac:dyDescent="0.25">
      <c r="A172" s="532"/>
      <c r="B172" s="181" t="s">
        <v>29</v>
      </c>
      <c r="C172" s="187">
        <f t="shared" si="71"/>
        <v>2.6065579541369914E-3</v>
      </c>
      <c r="D172" s="63">
        <f t="shared" si="72"/>
        <v>9.723687188673846E-4</v>
      </c>
      <c r="E172" s="63">
        <f t="shared" si="73"/>
        <v>4.2407471894065985E-3</v>
      </c>
    </row>
    <row r="173" spans="1:14" x14ac:dyDescent="0.25">
      <c r="A173" s="533"/>
      <c r="B173" s="182" t="s">
        <v>30</v>
      </c>
      <c r="C173" s="192">
        <f t="shared" si="71"/>
        <v>1.3665897355807826E-3</v>
      </c>
      <c r="D173" s="193">
        <f t="shared" si="72"/>
        <v>2.1598922426854308E-3</v>
      </c>
      <c r="E173" s="193">
        <f t="shared" si="73"/>
        <v>5.7328722847613386E-4</v>
      </c>
    </row>
    <row r="174" spans="1:14" x14ac:dyDescent="0.25">
      <c r="A174" s="534" t="str">
        <f>A19</f>
        <v>Complexes/ Composites</v>
      </c>
      <c r="B174" s="33" t="str">
        <f>B20</f>
        <v>Autres emballages composites</v>
      </c>
      <c r="C174" s="188">
        <f>T20</f>
        <v>1.2215435855231761E-2</v>
      </c>
      <c r="D174" s="65">
        <f>V20</f>
        <v>1.1352652490316358E-2</v>
      </c>
      <c r="E174" s="65">
        <f>X20</f>
        <v>1.3078219220147165E-2</v>
      </c>
    </row>
    <row r="175" spans="1:14" x14ac:dyDescent="0.25">
      <c r="A175" s="535"/>
      <c r="B175" s="182" t="s">
        <v>130</v>
      </c>
      <c r="C175" s="189">
        <f>T22</f>
        <v>5.411416914181226E-4</v>
      </c>
      <c r="D175" s="64">
        <f>V22</f>
        <v>9.0424221630391053E-4</v>
      </c>
      <c r="E175" s="64">
        <f>X22</f>
        <v>1.780411665323347E-4</v>
      </c>
    </row>
    <row r="176" spans="1:14" x14ac:dyDescent="0.25">
      <c r="A176" s="526" t="str">
        <f>A24</f>
        <v>Textiles sanitaires</v>
      </c>
      <c r="B176" s="33" t="str">
        <f>B24</f>
        <v>Textiles sanitaires fraction hygiénique</v>
      </c>
      <c r="C176" s="188">
        <f>T24</f>
        <v>4.1992335619921127E-2</v>
      </c>
      <c r="D176" s="65">
        <f>V24</f>
        <v>1.4509332933456499E-2</v>
      </c>
      <c r="E176" s="65">
        <f>X24</f>
        <v>6.9475338306385734E-2</v>
      </c>
    </row>
    <row r="177" spans="1:6" x14ac:dyDescent="0.25">
      <c r="A177" s="526"/>
      <c r="B177" s="191" t="str">
        <f>B25</f>
        <v>Textiles sanitaires fraction papiers souillés</v>
      </c>
      <c r="C177" s="189">
        <f>T25</f>
        <v>7.3889856698755876E-2</v>
      </c>
      <c r="D177" s="64">
        <f>V25</f>
        <v>7.660856968198386E-2</v>
      </c>
      <c r="E177" s="64">
        <f>X25</f>
        <v>7.1171143715527879E-2</v>
      </c>
    </row>
    <row r="178" spans="1:6" x14ac:dyDescent="0.25">
      <c r="A178" s="526" t="str">
        <f>A26</f>
        <v>Plastiques</v>
      </c>
      <c r="B178" s="33" t="s">
        <v>51</v>
      </c>
      <c r="C178" s="188">
        <f>T26</f>
        <v>8.0877692343661989E-2</v>
      </c>
      <c r="D178" s="65">
        <f>V26</f>
        <v>7.9075531282383482E-2</v>
      </c>
      <c r="E178" s="65">
        <f>X26</f>
        <v>8.2679853404940482E-2</v>
      </c>
    </row>
    <row r="179" spans="1:6" x14ac:dyDescent="0.25">
      <c r="A179" s="526"/>
      <c r="B179" s="191" t="str">
        <f>B29</f>
        <v>Autres emballages plastiques</v>
      </c>
      <c r="C179" s="189">
        <f>T29</f>
        <v>3.7530254485949786E-2</v>
      </c>
      <c r="D179" s="64">
        <f>V29</f>
        <v>3.6139268317781435E-2</v>
      </c>
      <c r="E179" s="64">
        <f>X29</f>
        <v>3.8921240654118144E-2</v>
      </c>
    </row>
    <row r="180" spans="1:6" x14ac:dyDescent="0.25">
      <c r="A180" s="526"/>
      <c r="B180" s="33" t="str">
        <f>B30</f>
        <v>Autres plastiques</v>
      </c>
      <c r="C180" s="188">
        <f>T30</f>
        <v>2.1758104375397998E-2</v>
      </c>
      <c r="D180" s="65">
        <f>V30</f>
        <v>2.374313284859814E-2</v>
      </c>
      <c r="E180" s="65">
        <f>X30</f>
        <v>1.9773075902197859E-2</v>
      </c>
    </row>
    <row r="181" spans="1:6" x14ac:dyDescent="0.25">
      <c r="A181" s="185" t="str">
        <f>A31</f>
        <v>Combustibles NC</v>
      </c>
      <c r="B181" s="33" t="s">
        <v>127</v>
      </c>
      <c r="C181" s="188">
        <f>T31</f>
        <v>2.6849765109720591E-2</v>
      </c>
      <c r="D181" s="65">
        <f>V31</f>
        <v>1.9499067400899277E-2</v>
      </c>
      <c r="E181" s="65">
        <f>X31</f>
        <v>3.4200462818541909E-2</v>
      </c>
    </row>
    <row r="182" spans="1:6" x14ac:dyDescent="0.25">
      <c r="A182" s="194" t="s">
        <v>57</v>
      </c>
      <c r="B182" s="191" t="s">
        <v>128</v>
      </c>
      <c r="C182" s="189">
        <f>T33</f>
        <v>1.8488073856954126E-2</v>
      </c>
      <c r="D182" s="64">
        <f>V33</f>
        <v>2.4117153218562427E-2</v>
      </c>
      <c r="E182" s="64">
        <f>X33</f>
        <v>1.2858994495345825E-2</v>
      </c>
    </row>
    <row r="183" spans="1:6" x14ac:dyDescent="0.25">
      <c r="A183" s="526" t="str">
        <f>A34</f>
        <v>Métaux</v>
      </c>
      <c r="B183" s="33" t="str">
        <f>B38</f>
        <v>Autres métaux ferreux</v>
      </c>
      <c r="C183" s="188">
        <f>T38</f>
        <v>1.781662722064747E-3</v>
      </c>
      <c r="D183" s="65">
        <f>V38</f>
        <v>1.3252509846444908E-3</v>
      </c>
      <c r="E183" s="65">
        <f>X38</f>
        <v>2.2380744594850031E-3</v>
      </c>
    </row>
    <row r="184" spans="1:6" x14ac:dyDescent="0.25">
      <c r="A184" s="526"/>
      <c r="B184" s="191" t="str">
        <f>B39</f>
        <v xml:space="preserve">Autres métaux </v>
      </c>
      <c r="C184" s="188">
        <f>T39</f>
        <v>4.248330160255857E-3</v>
      </c>
      <c r="D184" s="64">
        <f>V39</f>
        <v>1.8516491308302066E-3</v>
      </c>
      <c r="E184" s="64">
        <f>X39</f>
        <v>6.6450111896815059E-3</v>
      </c>
    </row>
    <row r="185" spans="1:6" x14ac:dyDescent="0.25">
      <c r="A185" s="185" t="s">
        <v>129</v>
      </c>
      <c r="B185" s="33" t="s">
        <v>129</v>
      </c>
      <c r="C185" s="188">
        <f>T40</f>
        <v>1.9660058324891028E-2</v>
      </c>
      <c r="D185" s="65">
        <f>V40</f>
        <v>2.2647847089857929E-2</v>
      </c>
      <c r="E185" s="65">
        <f>X40</f>
        <v>1.6672269559924128E-2</v>
      </c>
    </row>
    <row r="186" spans="1:6" x14ac:dyDescent="0.25">
      <c r="A186" s="185" t="s">
        <v>74</v>
      </c>
      <c r="B186" s="191"/>
      <c r="C186" s="189">
        <f>T51</f>
        <v>4.9552709776970238E-2</v>
      </c>
      <c r="D186" s="64">
        <f>V51</f>
        <v>5.6423263507313304E-2</v>
      </c>
      <c r="E186" s="64">
        <f>X51</f>
        <v>4.2682156046627173E-2</v>
      </c>
    </row>
    <row r="187" spans="1:6" x14ac:dyDescent="0.25">
      <c r="A187" s="184"/>
      <c r="B187" s="33"/>
      <c r="C187" s="190">
        <f>SUM(C169:C186)</f>
        <v>0.63758468623541487</v>
      </c>
      <c r="D187" s="59">
        <f>SUM(D169:D186)</f>
        <v>0.65619756526972872</v>
      </c>
      <c r="E187" s="59">
        <f>SUM(E169:E186)</f>
        <v>0.61897180720110134</v>
      </c>
    </row>
    <row r="188" spans="1:6" x14ac:dyDescent="0.25">
      <c r="C188" s="39">
        <f>C187+C156</f>
        <v>1.0000410885888265</v>
      </c>
      <c r="D188" s="39">
        <f>D187+D156</f>
        <v>1.0000812479409182</v>
      </c>
      <c r="E188" s="39">
        <f>E187+E156</f>
        <v>1.0000009292367351</v>
      </c>
    </row>
    <row r="191" spans="1:6" ht="26.25" customHeight="1" x14ac:dyDescent="0.25">
      <c r="A191" s="196" t="s">
        <v>20</v>
      </c>
      <c r="B191" s="197" t="s">
        <v>21</v>
      </c>
      <c r="C191" s="198" t="s">
        <v>85</v>
      </c>
      <c r="D191" s="199" t="s">
        <v>97</v>
      </c>
      <c r="E191" s="199" t="s">
        <v>98</v>
      </c>
      <c r="F191" s="199" t="s">
        <v>99</v>
      </c>
    </row>
    <row r="192" spans="1:6" ht="15" customHeight="1" x14ac:dyDescent="0.25">
      <c r="A192" s="527" t="s">
        <v>26</v>
      </c>
      <c r="B192" s="181" t="str">
        <f>B169</f>
        <v>Déchets alimentaires (non consommables)</v>
      </c>
      <c r="C192" s="67">
        <f>C169</f>
        <v>8.4151613344665338E-2</v>
      </c>
      <c r="D192" s="518">
        <f>SUM(C192:C197)</f>
        <v>0.30543288997695189</v>
      </c>
      <c r="E192" s="518">
        <f>SUM(C192:C205)</f>
        <v>0.5160331928841273</v>
      </c>
      <c r="F192" s="518">
        <f>SUM(C192:C207)</f>
        <v>0.63191538520280433</v>
      </c>
    </row>
    <row r="193" spans="1:13" ht="26.25" customHeight="1" x14ac:dyDescent="0.25">
      <c r="A193" s="527"/>
      <c r="B193" s="181" t="str">
        <f t="shared" ref="B193:C196" si="74">B170</f>
        <v>Produits alimentaires non consommés</v>
      </c>
      <c r="C193" s="67">
        <f t="shared" si="74"/>
        <v>0.16007450417983859</v>
      </c>
      <c r="D193" s="518"/>
      <c r="E193" s="518"/>
      <c r="F193" s="518"/>
    </row>
    <row r="194" spans="1:13" ht="15" customHeight="1" x14ac:dyDescent="0.25">
      <c r="A194" s="527"/>
      <c r="B194" s="181" t="str">
        <f t="shared" si="74"/>
        <v>Autres putrescibles</v>
      </c>
      <c r="C194" s="67">
        <f t="shared" si="74"/>
        <v>0</v>
      </c>
      <c r="D194" s="518"/>
      <c r="E194" s="518"/>
      <c r="F194" s="518"/>
    </row>
    <row r="195" spans="1:13" ht="15" customHeight="1" x14ac:dyDescent="0.25">
      <c r="A195" s="527"/>
      <c r="B195" s="181" t="str">
        <f t="shared" si="74"/>
        <v>Déchets de jardins ligneux</v>
      </c>
      <c r="C195" s="67">
        <f t="shared" si="74"/>
        <v>2.6065579541369914E-3</v>
      </c>
      <c r="D195" s="518"/>
      <c r="E195" s="518"/>
      <c r="F195" s="518"/>
    </row>
    <row r="196" spans="1:13" ht="15" customHeight="1" x14ac:dyDescent="0.25">
      <c r="A196" s="527"/>
      <c r="B196" s="181" t="str">
        <f t="shared" si="74"/>
        <v>Déchets de jardins non ligneux</v>
      </c>
      <c r="C196" s="67">
        <f t="shared" si="74"/>
        <v>1.3665897355807826E-3</v>
      </c>
      <c r="D196" s="518"/>
      <c r="E196" s="518"/>
      <c r="F196" s="518"/>
    </row>
    <row r="197" spans="1:13" ht="15" customHeight="1" x14ac:dyDescent="0.25">
      <c r="A197" s="200" t="s">
        <v>74</v>
      </c>
      <c r="B197" s="181"/>
      <c r="C197" s="67">
        <f>D87</f>
        <v>5.7233624762730154E-2</v>
      </c>
      <c r="D197" s="518"/>
      <c r="E197" s="518"/>
      <c r="F197" s="518"/>
    </row>
    <row r="198" spans="1:13" ht="15" customHeight="1" x14ac:dyDescent="0.25">
      <c r="A198" s="527" t="s">
        <v>31</v>
      </c>
      <c r="B198" s="181" t="s">
        <v>32</v>
      </c>
      <c r="C198" s="67">
        <f>T11</f>
        <v>1.9966550355060089E-2</v>
      </c>
      <c r="D198" s="528"/>
      <c r="E198" s="518"/>
      <c r="F198" s="518"/>
    </row>
    <row r="199" spans="1:13" ht="15" customHeight="1" x14ac:dyDescent="0.25">
      <c r="A199" s="527"/>
      <c r="B199" s="181" t="s">
        <v>33</v>
      </c>
      <c r="C199" s="67">
        <f t="shared" ref="C199:C205" si="75">T12</f>
        <v>2.9638779161197198E-2</v>
      </c>
      <c r="D199" s="528"/>
      <c r="E199" s="518"/>
      <c r="F199" s="518"/>
    </row>
    <row r="200" spans="1:13" ht="15" customHeight="1" x14ac:dyDescent="0.25">
      <c r="A200" s="527"/>
      <c r="B200" s="181" t="s">
        <v>34</v>
      </c>
      <c r="C200" s="67">
        <f t="shared" si="75"/>
        <v>1.2991171520412612E-2</v>
      </c>
      <c r="D200" s="528"/>
      <c r="E200" s="518"/>
      <c r="F200" s="518"/>
    </row>
    <row r="201" spans="1:13" ht="15" customHeight="1" x14ac:dyDescent="0.25">
      <c r="A201" s="527"/>
      <c r="B201" s="181" t="s">
        <v>35</v>
      </c>
      <c r="C201" s="67">
        <f t="shared" si="75"/>
        <v>4.8631735285605819E-2</v>
      </c>
      <c r="D201" s="528"/>
      <c r="E201" s="518"/>
      <c r="F201" s="518"/>
    </row>
    <row r="202" spans="1:13" ht="15" customHeight="1" x14ac:dyDescent="0.25">
      <c r="A202" s="527"/>
      <c r="B202" s="181" t="s">
        <v>36</v>
      </c>
      <c r="C202" s="67">
        <f t="shared" si="75"/>
        <v>2.4537575195222538E-2</v>
      </c>
      <c r="D202" s="528"/>
      <c r="E202" s="518"/>
      <c r="F202" s="518"/>
    </row>
    <row r="203" spans="1:13" ht="15" customHeight="1" x14ac:dyDescent="0.25">
      <c r="A203" s="527" t="s">
        <v>37</v>
      </c>
      <c r="B203" s="181" t="s">
        <v>38</v>
      </c>
      <c r="C203" s="67">
        <f t="shared" si="75"/>
        <v>3.8242373770616567E-2</v>
      </c>
      <c r="D203" s="528"/>
      <c r="E203" s="518"/>
      <c r="F203" s="518"/>
    </row>
    <row r="204" spans="1:13" ht="15" customHeight="1" x14ac:dyDescent="0.25">
      <c r="A204" s="527"/>
      <c r="B204" s="181" t="s">
        <v>39</v>
      </c>
      <c r="C204" s="67">
        <f t="shared" si="75"/>
        <v>3.1036719737649977E-2</v>
      </c>
      <c r="D204" s="528"/>
      <c r="E204" s="518"/>
      <c r="F204" s="518"/>
    </row>
    <row r="205" spans="1:13" ht="15" customHeight="1" x14ac:dyDescent="0.25">
      <c r="A205" s="527"/>
      <c r="B205" s="181" t="s">
        <v>40</v>
      </c>
      <c r="C205" s="67">
        <f t="shared" si="75"/>
        <v>5.5553978814106703E-3</v>
      </c>
      <c r="D205" s="528"/>
      <c r="E205" s="518"/>
      <c r="F205" s="518"/>
    </row>
    <row r="206" spans="1:13" ht="15" customHeight="1" x14ac:dyDescent="0.25">
      <c r="A206" s="527" t="s">
        <v>47</v>
      </c>
      <c r="B206" s="181" t="s">
        <v>48</v>
      </c>
      <c r="C206" s="67">
        <f>T24</f>
        <v>4.1992335619921127E-2</v>
      </c>
      <c r="D206" s="528"/>
      <c r="E206" s="528"/>
      <c r="F206" s="518"/>
      <c r="I206" s="66" t="s">
        <v>20</v>
      </c>
      <c r="K206" s="66" t="s">
        <v>20</v>
      </c>
      <c r="M206" s="66" t="s">
        <v>20</v>
      </c>
    </row>
    <row r="207" spans="1:13" ht="15" customHeight="1" x14ac:dyDescent="0.25">
      <c r="A207" s="527"/>
      <c r="B207" s="181" t="s">
        <v>49</v>
      </c>
      <c r="C207" s="67">
        <f>T25</f>
        <v>7.3889856698755876E-2</v>
      </c>
      <c r="D207" s="528"/>
      <c r="E207" s="528"/>
      <c r="F207" s="518"/>
    </row>
    <row r="208" spans="1:13" ht="15" customHeight="1" x14ac:dyDescent="0.25">
      <c r="A208" s="519" t="s">
        <v>25</v>
      </c>
      <c r="B208" s="519"/>
      <c r="C208" s="68">
        <f>SUM(C192:C207)</f>
        <v>0.63191538520280433</v>
      </c>
      <c r="D208" s="528"/>
      <c r="E208" s="528"/>
      <c r="F208" s="518"/>
    </row>
    <row r="215" spans="2:14" x14ac:dyDescent="0.25">
      <c r="B215" s="503"/>
      <c r="C215" s="500" t="s">
        <v>91</v>
      </c>
      <c r="D215" s="501"/>
      <c r="E215" s="501"/>
      <c r="F215" s="501"/>
      <c r="G215" s="501"/>
      <c r="H215" s="502"/>
      <c r="I215" s="501" t="s">
        <v>92</v>
      </c>
      <c r="J215" s="501"/>
      <c r="K215" s="501"/>
      <c r="L215" s="501"/>
      <c r="M215" s="501"/>
      <c r="N215" s="501"/>
    </row>
    <row r="216" spans="2:14" ht="24" x14ac:dyDescent="0.25">
      <c r="B216" s="504"/>
      <c r="C216" s="120" t="s">
        <v>78</v>
      </c>
      <c r="D216" s="121" t="s">
        <v>93</v>
      </c>
      <c r="E216" s="121" t="s">
        <v>94</v>
      </c>
      <c r="F216" s="122" t="s">
        <v>105</v>
      </c>
      <c r="G216" s="123" t="s">
        <v>113</v>
      </c>
      <c r="H216" s="130" t="s">
        <v>114</v>
      </c>
      <c r="I216" s="121" t="s">
        <v>77</v>
      </c>
      <c r="J216" s="121" t="s">
        <v>93</v>
      </c>
      <c r="K216" s="121" t="s">
        <v>94</v>
      </c>
      <c r="L216" s="122" t="s">
        <v>105</v>
      </c>
      <c r="M216" s="123" t="s">
        <v>113</v>
      </c>
      <c r="N216" s="119" t="s">
        <v>114</v>
      </c>
    </row>
    <row r="217" spans="2:14" x14ac:dyDescent="0.25">
      <c r="B217" s="51" t="s">
        <v>82</v>
      </c>
      <c r="C217" s="67">
        <f t="shared" ref="C217:E229" si="76">D91</f>
        <v>0.2083979262616461</v>
      </c>
      <c r="D217" s="67">
        <f t="shared" si="76"/>
        <v>0.14605298595874291</v>
      </c>
      <c r="E217" s="67">
        <f t="shared" si="76"/>
        <v>0.29443661882704286</v>
      </c>
      <c r="F217" s="67">
        <f t="shared" ref="F217:H229" si="77">E107</f>
        <v>0.13813038487677154</v>
      </c>
      <c r="G217" s="67">
        <f t="shared" si="77"/>
        <v>0.13813038487677154</v>
      </c>
      <c r="H217" s="128">
        <f t="shared" si="77"/>
        <v>0.6628203425755167</v>
      </c>
      <c r="I217" s="126">
        <f t="shared" ref="I217:K229" si="78">I91</f>
        <v>0.28800060416679724</v>
      </c>
      <c r="J217" s="67">
        <f t="shared" si="78"/>
        <v>9.7556531862969947E-2</v>
      </c>
      <c r="K217" s="67">
        <f t="shared" si="78"/>
        <v>0.50863335052210012</v>
      </c>
      <c r="L217" s="124">
        <f>J107</f>
        <v>0.40659780600054335</v>
      </c>
      <c r="M217" s="124">
        <f>K107</f>
        <v>0.40659780600054335</v>
      </c>
      <c r="N217" s="124">
        <f>L107</f>
        <v>1.411794975836439</v>
      </c>
    </row>
    <row r="218" spans="2:14" x14ac:dyDescent="0.25">
      <c r="B218" s="54" t="s">
        <v>31</v>
      </c>
      <c r="C218" s="117">
        <f t="shared" si="76"/>
        <v>0.1289471255084301</v>
      </c>
      <c r="D218" s="117">
        <f t="shared" si="76"/>
        <v>9.5402434159191751E-2</v>
      </c>
      <c r="E218" s="117">
        <f t="shared" si="76"/>
        <v>0.18267980439228027</v>
      </c>
      <c r="F218" s="117">
        <f t="shared" si="77"/>
        <v>8.3653782760407025E-2</v>
      </c>
      <c r="G218" s="117">
        <f t="shared" si="77"/>
        <v>8.3653782760407025E-2</v>
      </c>
      <c r="H218" s="129">
        <f t="shared" si="77"/>
        <v>0.64874484352067263</v>
      </c>
      <c r="I218" s="127">
        <f t="shared" si="78"/>
        <v>0.14258449752656643</v>
      </c>
      <c r="J218" s="117">
        <f t="shared" si="78"/>
        <v>4.8051794391281072E-2</v>
      </c>
      <c r="K218" s="117">
        <f t="shared" si="78"/>
        <v>0.35360205318966159</v>
      </c>
      <c r="L218" s="125">
        <f t="shared" ref="L218:L229" si="79">J108</f>
        <v>0.3107806789119742</v>
      </c>
      <c r="M218" s="125">
        <f t="shared" ref="M218:M229" si="80">K108</f>
        <v>0.3107806789119742</v>
      </c>
      <c r="N218" s="125">
        <f t="shared" ref="N218:N229" si="81">L108</f>
        <v>2.1796246036780356</v>
      </c>
    </row>
    <row r="219" spans="2:14" x14ac:dyDescent="0.25">
      <c r="B219" s="51" t="s">
        <v>37</v>
      </c>
      <c r="C219" s="67">
        <f t="shared" si="76"/>
        <v>7.0541558497217938E-2</v>
      </c>
      <c r="D219" s="67">
        <f t="shared" si="76"/>
        <v>5.7122899136496791E-2</v>
      </c>
      <c r="E219" s="67">
        <f t="shared" si="76"/>
        <v>9.9551774658008366E-2</v>
      </c>
      <c r="F219" s="67">
        <f t="shared" si="77"/>
        <v>4.262138216385894E-2</v>
      </c>
      <c r="G219" s="67">
        <f t="shared" si="77"/>
        <v>4.262138216385894E-2</v>
      </c>
      <c r="H219" s="128">
        <f t="shared" si="77"/>
        <v>0.60420244564826098</v>
      </c>
      <c r="I219" s="126">
        <f t="shared" si="78"/>
        <v>7.9127424282136483E-2</v>
      </c>
      <c r="J219" s="67">
        <f t="shared" si="78"/>
        <v>5.1119378403398343E-2</v>
      </c>
      <c r="K219" s="67">
        <f t="shared" si="78"/>
        <v>9.6164144194307827E-2</v>
      </c>
      <c r="L219" s="124">
        <f t="shared" si="79"/>
        <v>4.2501459814518125E-2</v>
      </c>
      <c r="M219" s="124">
        <f t="shared" si="80"/>
        <v>4.2501459814518125E-2</v>
      </c>
      <c r="N219" s="124">
        <f t="shared" si="81"/>
        <v>0.53712679516743855</v>
      </c>
    </row>
    <row r="220" spans="2:14" x14ac:dyDescent="0.25">
      <c r="B220" s="54" t="s">
        <v>83</v>
      </c>
      <c r="C220" s="117">
        <f t="shared" si="76"/>
        <v>2.2441219689551178E-2</v>
      </c>
      <c r="D220" s="117">
        <f t="shared" si="76"/>
        <v>1.4661955888304618E-2</v>
      </c>
      <c r="E220" s="117">
        <f t="shared" si="76"/>
        <v>2.5712892682354018E-2</v>
      </c>
      <c r="F220" s="117">
        <f t="shared" si="77"/>
        <v>1.1486047093579688E-2</v>
      </c>
      <c r="G220" s="117">
        <f t="shared" si="77"/>
        <v>1.1486047093579687E-2</v>
      </c>
      <c r="H220" s="129">
        <f t="shared" si="77"/>
        <v>0.51182811150535135</v>
      </c>
      <c r="I220" s="127">
        <f t="shared" si="78"/>
        <v>2.0624888694433553E-2</v>
      </c>
      <c r="J220" s="117">
        <f t="shared" si="78"/>
        <v>1.5697505741409493E-2</v>
      </c>
      <c r="K220" s="117">
        <f t="shared" si="78"/>
        <v>2.5391089788077831E-2</v>
      </c>
      <c r="L220" s="125">
        <f t="shared" si="79"/>
        <v>1.1289298187758418E-2</v>
      </c>
      <c r="M220" s="125">
        <f t="shared" si="80"/>
        <v>1.1289298187758416E-2</v>
      </c>
      <c r="N220" s="125">
        <f t="shared" si="81"/>
        <v>0.54736286605053452</v>
      </c>
    </row>
    <row r="221" spans="2:14" x14ac:dyDescent="0.25">
      <c r="B221" s="51" t="s">
        <v>46</v>
      </c>
      <c r="C221" s="67">
        <f t="shared" si="76"/>
        <v>3.0666799932600623E-2</v>
      </c>
      <c r="D221" s="67">
        <f t="shared" si="76"/>
        <v>9.4227435757513259E-3</v>
      </c>
      <c r="E221" s="67">
        <f t="shared" si="76"/>
        <v>4.4804615907116166E-2</v>
      </c>
      <c r="F221" s="67">
        <f t="shared" si="77"/>
        <v>3.290325467190737E-2</v>
      </c>
      <c r="G221" s="67">
        <f t="shared" si="77"/>
        <v>3.290325467190737E-2</v>
      </c>
      <c r="H221" s="128">
        <f t="shared" si="77"/>
        <v>1.0729275550178701</v>
      </c>
      <c r="I221" s="126">
        <f t="shared" si="78"/>
        <v>1.3635327018077936E-2</v>
      </c>
      <c r="J221" s="67">
        <f t="shared" si="78"/>
        <v>4.0401819700657069E-3</v>
      </c>
      <c r="K221" s="67">
        <f t="shared" si="78"/>
        <v>2.2334133994287488E-2</v>
      </c>
      <c r="L221" s="124">
        <f t="shared" si="79"/>
        <v>1.6805193129858439E-2</v>
      </c>
      <c r="M221" s="124">
        <f t="shared" si="80"/>
        <v>1.6805193129858439E-2</v>
      </c>
      <c r="N221" s="124">
        <f t="shared" si="81"/>
        <v>1.2324745206020982</v>
      </c>
    </row>
    <row r="222" spans="2:14" x14ac:dyDescent="0.25">
      <c r="B222" s="54" t="s">
        <v>47</v>
      </c>
      <c r="C222" s="117">
        <f t="shared" si="76"/>
        <v>0.1406464820219136</v>
      </c>
      <c r="D222" s="117">
        <f t="shared" si="76"/>
        <v>8.0413437281105893E-2</v>
      </c>
      <c r="E222" s="117">
        <f t="shared" si="76"/>
        <v>0.2319256925702663</v>
      </c>
      <c r="F222" s="117">
        <f t="shared" si="77"/>
        <v>0.14053490905033622</v>
      </c>
      <c r="G222" s="117">
        <f t="shared" si="77"/>
        <v>0.14053490905033622</v>
      </c>
      <c r="H222" s="129">
        <f t="shared" si="77"/>
        <v>0.99920671338540845</v>
      </c>
      <c r="I222" s="127">
        <f t="shared" si="78"/>
        <v>9.1117902615440366E-2</v>
      </c>
      <c r="J222" s="117">
        <f t="shared" si="78"/>
        <v>3.8636865139158511E-2</v>
      </c>
      <c r="K222" s="117">
        <f t="shared" si="78"/>
        <v>0.15571698226306066</v>
      </c>
      <c r="L222" s="125">
        <f t="shared" si="79"/>
        <v>0.11108444116699677</v>
      </c>
      <c r="M222" s="125">
        <f t="shared" si="80"/>
        <v>0.11108444116699676</v>
      </c>
      <c r="N222" s="125">
        <f t="shared" si="81"/>
        <v>1.2191286012785478</v>
      </c>
    </row>
    <row r="223" spans="2:14" x14ac:dyDescent="0.25">
      <c r="B223" s="51" t="s">
        <v>50</v>
      </c>
      <c r="C223" s="67">
        <f t="shared" si="76"/>
        <v>0.17720651780450949</v>
      </c>
      <c r="D223" s="67">
        <f t="shared" si="76"/>
        <v>0.12841046358544048</v>
      </c>
      <c r="E223" s="67">
        <f t="shared" si="76"/>
        <v>0.21436659405416794</v>
      </c>
      <c r="F223" s="67">
        <f t="shared" si="77"/>
        <v>7.818218610772068E-2</v>
      </c>
      <c r="G223" s="67">
        <f t="shared" si="77"/>
        <v>7.818218610772068E-2</v>
      </c>
      <c r="H223" s="128">
        <f t="shared" si="77"/>
        <v>0.44119249718551334</v>
      </c>
      <c r="I223" s="126">
        <f t="shared" si="78"/>
        <v>0.16204156295790081</v>
      </c>
      <c r="J223" s="67">
        <f t="shared" si="78"/>
        <v>9.7802962865692594E-2</v>
      </c>
      <c r="K223" s="67">
        <f t="shared" si="78"/>
        <v>0.22611986751277768</v>
      </c>
      <c r="L223" s="124">
        <f t="shared" si="79"/>
        <v>0.11827371085506773</v>
      </c>
      <c r="M223" s="124">
        <f t="shared" si="80"/>
        <v>0.11827371085506774</v>
      </c>
      <c r="N223" s="124">
        <f t="shared" si="81"/>
        <v>0.72989737136635635</v>
      </c>
    </row>
    <row r="224" spans="2:14" x14ac:dyDescent="0.25">
      <c r="B224" s="54" t="s">
        <v>56</v>
      </c>
      <c r="C224" s="117">
        <f t="shared" si="76"/>
        <v>3.4200462818541909E-2</v>
      </c>
      <c r="D224" s="117">
        <f t="shared" si="76"/>
        <v>9.8874500529037655E-3</v>
      </c>
      <c r="E224" s="117">
        <f t="shared" si="76"/>
        <v>6.9502255549022063E-2</v>
      </c>
      <c r="F224" s="117">
        <f t="shared" si="77"/>
        <v>5.5696441216838116E-2</v>
      </c>
      <c r="G224" s="117">
        <f t="shared" si="77"/>
        <v>5.5696441216838116E-2</v>
      </c>
      <c r="H224" s="129">
        <f t="shared" si="77"/>
        <v>1.6285288743707318</v>
      </c>
      <c r="I224" s="127">
        <f t="shared" si="78"/>
        <v>1.9499067400899277E-2</v>
      </c>
      <c r="J224" s="117">
        <f t="shared" si="78"/>
        <v>8.2990406694630446E-3</v>
      </c>
      <c r="K224" s="117">
        <f t="shared" si="78"/>
        <v>2.8455147455779383E-2</v>
      </c>
      <c r="L224" s="125">
        <f t="shared" si="79"/>
        <v>2.0622779346867272E-2</v>
      </c>
      <c r="M224" s="125">
        <f t="shared" si="80"/>
        <v>2.0622779346867272E-2</v>
      </c>
      <c r="N224" s="125">
        <f t="shared" si="81"/>
        <v>1.0576290097810612</v>
      </c>
    </row>
    <row r="225" spans="2:14" x14ac:dyDescent="0.25">
      <c r="B225" s="51" t="s">
        <v>57</v>
      </c>
      <c r="C225" s="67">
        <f t="shared" si="76"/>
        <v>7.1463329145235982E-2</v>
      </c>
      <c r="D225" s="67">
        <f t="shared" si="76"/>
        <v>5.905224377891366E-2</v>
      </c>
      <c r="E225" s="67">
        <f t="shared" si="76"/>
        <v>0.10273938370634643</v>
      </c>
      <c r="F225" s="67">
        <f t="shared" si="77"/>
        <v>4.5681897607455661E-2</v>
      </c>
      <c r="G225" s="67">
        <f t="shared" si="77"/>
        <v>4.5681897607455668E-2</v>
      </c>
      <c r="H225" s="128">
        <f t="shared" si="77"/>
        <v>0.63923550937034668</v>
      </c>
      <c r="I225" s="126">
        <f t="shared" si="78"/>
        <v>7.5326974715044875E-2</v>
      </c>
      <c r="J225" s="67">
        <f t="shared" si="78"/>
        <v>2.0495384347936355E-2</v>
      </c>
      <c r="K225" s="67">
        <f t="shared" si="78"/>
        <v>0.13567543019590206</v>
      </c>
      <c r="L225" s="124">
        <f t="shared" si="79"/>
        <v>0.1033193806446706</v>
      </c>
      <c r="M225" s="124">
        <f t="shared" si="80"/>
        <v>0.10331938064467058</v>
      </c>
      <c r="N225" s="124">
        <f t="shared" si="81"/>
        <v>1.3716119761283185</v>
      </c>
    </row>
    <row r="226" spans="2:14" x14ac:dyDescent="0.25">
      <c r="B226" s="54" t="s">
        <v>60</v>
      </c>
      <c r="C226" s="117">
        <f t="shared" si="76"/>
        <v>4.627847245700447E-2</v>
      </c>
      <c r="D226" s="117">
        <f t="shared" si="76"/>
        <v>3.7884054676993892E-2</v>
      </c>
      <c r="E226" s="117">
        <f t="shared" si="76"/>
        <v>5.3151981953915309E-2</v>
      </c>
      <c r="F226" s="117">
        <f t="shared" si="77"/>
        <v>1.3963885815140077E-2</v>
      </c>
      <c r="G226" s="117">
        <f t="shared" si="77"/>
        <v>1.3963885815140076E-2</v>
      </c>
      <c r="H226" s="129">
        <f t="shared" si="77"/>
        <v>0.30173610047551547</v>
      </c>
      <c r="I226" s="127">
        <f t="shared" si="78"/>
        <v>2.5785349674334684E-2</v>
      </c>
      <c r="J226" s="117">
        <f t="shared" si="78"/>
        <v>6.0401894651027207E-3</v>
      </c>
      <c r="K226" s="117">
        <f t="shared" si="78"/>
        <v>4.2635398609429852E-2</v>
      </c>
      <c r="L226" s="125">
        <f t="shared" si="79"/>
        <v>3.2767352260173445E-2</v>
      </c>
      <c r="M226" s="125">
        <f t="shared" si="80"/>
        <v>3.2767352260173445E-2</v>
      </c>
      <c r="N226" s="125">
        <f t="shared" si="81"/>
        <v>1.2707740121433475</v>
      </c>
    </row>
    <row r="227" spans="2:14" x14ac:dyDescent="0.25">
      <c r="B227" s="51" t="s">
        <v>67</v>
      </c>
      <c r="C227" s="67">
        <f t="shared" si="76"/>
        <v>1.6672269559924128E-2</v>
      </c>
      <c r="D227" s="67">
        <f t="shared" si="76"/>
        <v>0</v>
      </c>
      <c r="E227" s="67">
        <f t="shared" si="76"/>
        <v>6.4179741168242502E-2</v>
      </c>
      <c r="F227" s="67">
        <f t="shared" si="77"/>
        <v>6.9074884206120818E-2</v>
      </c>
      <c r="G227" s="67">
        <f t="shared" si="77"/>
        <v>6.9074884206120818E-2</v>
      </c>
      <c r="H227" s="128">
        <f t="shared" si="77"/>
        <v>4.1431002514594155</v>
      </c>
      <c r="I227" s="126">
        <f t="shared" si="78"/>
        <v>2.2647847089857929E-2</v>
      </c>
      <c r="J227" s="67">
        <f t="shared" si="78"/>
        <v>6.8760967898570833E-3</v>
      </c>
      <c r="K227" s="67">
        <f t="shared" si="78"/>
        <v>5.0706089774172763E-2</v>
      </c>
      <c r="L227" s="124">
        <f t="shared" si="79"/>
        <v>4.2099583801761362E-2</v>
      </c>
      <c r="M227" s="124">
        <f t="shared" si="80"/>
        <v>4.2099583801761362E-2</v>
      </c>
      <c r="N227" s="124">
        <f t="shared" si="81"/>
        <v>1.8588779602196375</v>
      </c>
    </row>
    <row r="228" spans="2:14" x14ac:dyDescent="0.25">
      <c r="B228" s="54" t="s">
        <v>69</v>
      </c>
      <c r="C228" s="117">
        <f t="shared" si="76"/>
        <v>9.8566094935321081E-3</v>
      </c>
      <c r="D228" s="117">
        <f t="shared" si="76"/>
        <v>0</v>
      </c>
      <c r="E228" s="117">
        <f t="shared" si="76"/>
        <v>2.0884833507067463E-2</v>
      </c>
      <c r="F228" s="117">
        <f t="shared" si="77"/>
        <v>1.8813502552848346E-2</v>
      </c>
      <c r="G228" s="117">
        <f t="shared" si="77"/>
        <v>1.8813502552848346E-2</v>
      </c>
      <c r="H228" s="129">
        <f t="shared" si="77"/>
        <v>1.9087194805874919</v>
      </c>
      <c r="I228" s="127">
        <f t="shared" si="78"/>
        <v>3.2665382921151847E-3</v>
      </c>
      <c r="J228" s="117">
        <f t="shared" si="78"/>
        <v>1.0412506652248937E-3</v>
      </c>
      <c r="K228" s="117">
        <f t="shared" si="78"/>
        <v>6.3975951057706299E-3</v>
      </c>
      <c r="L228" s="125">
        <f t="shared" si="79"/>
        <v>5.1096657777561505E-3</v>
      </c>
      <c r="M228" s="125">
        <f t="shared" si="80"/>
        <v>5.1096657777561505E-3</v>
      </c>
      <c r="N228" s="125">
        <f t="shared" si="81"/>
        <v>1.5642448735684293</v>
      </c>
    </row>
    <row r="229" spans="2:14" x14ac:dyDescent="0.25">
      <c r="B229" s="57" t="s">
        <v>74</v>
      </c>
      <c r="C229" s="67">
        <f t="shared" si="76"/>
        <v>4.2682156046627173E-2</v>
      </c>
      <c r="D229" s="67">
        <f t="shared" si="76"/>
        <v>3.5976173520533311E-2</v>
      </c>
      <c r="E229" s="67">
        <f t="shared" si="76"/>
        <v>5.0988710495986335E-2</v>
      </c>
      <c r="F229" s="67">
        <f t="shared" si="77"/>
        <v>1.5098025844358112E-2</v>
      </c>
      <c r="G229" s="67">
        <f t="shared" si="77"/>
        <v>1.5098025844358112E-2</v>
      </c>
      <c r="H229" s="128">
        <f t="shared" si="77"/>
        <v>0.35373156472846895</v>
      </c>
      <c r="I229" s="126">
        <f t="shared" si="78"/>
        <v>5.6423263507313304E-2</v>
      </c>
      <c r="J229" s="67">
        <f t="shared" si="78"/>
        <v>4.7122606662369337E-2</v>
      </c>
      <c r="K229" s="67">
        <f t="shared" si="78"/>
        <v>6.3829906547245685E-2</v>
      </c>
      <c r="L229" s="124">
        <f t="shared" si="79"/>
        <v>1.5340638728028475E-2</v>
      </c>
      <c r="M229" s="124">
        <f t="shared" si="80"/>
        <v>1.5340638728028475E-2</v>
      </c>
      <c r="N229" s="124">
        <f t="shared" si="81"/>
        <v>0.27188499520308845</v>
      </c>
    </row>
  </sheetData>
  <mergeCells count="114">
    <mergeCell ref="A192:A196"/>
    <mergeCell ref="A136:A137"/>
    <mergeCell ref="I55:J55"/>
    <mergeCell ref="K55:L55"/>
    <mergeCell ref="D73:D74"/>
    <mergeCell ref="E73:I73"/>
    <mergeCell ref="C89:C90"/>
    <mergeCell ref="I89:M89"/>
    <mergeCell ref="D89:H89"/>
    <mergeCell ref="A19:A22"/>
    <mergeCell ref="A24:A25"/>
    <mergeCell ref="A26:A30"/>
    <mergeCell ref="A32:A33"/>
    <mergeCell ref="A34:A39"/>
    <mergeCell ref="A41:A50"/>
    <mergeCell ref="A51:B51"/>
    <mergeCell ref="A52:B52"/>
    <mergeCell ref="M55:N55"/>
    <mergeCell ref="S3:T3"/>
    <mergeCell ref="S2:T2"/>
    <mergeCell ref="U3:V3"/>
    <mergeCell ref="U2:V2"/>
    <mergeCell ref="G3:H3"/>
    <mergeCell ref="V4:V5"/>
    <mergeCell ref="W4:W5"/>
    <mergeCell ref="X4:X5"/>
    <mergeCell ref="A6:A10"/>
    <mergeCell ref="W3:X3"/>
    <mergeCell ref="W2:X2"/>
    <mergeCell ref="A16:A18"/>
    <mergeCell ref="P4:P5"/>
    <mergeCell ref="Q4:Q5"/>
    <mergeCell ref="R4:R5"/>
    <mergeCell ref="S4:S5"/>
    <mergeCell ref="T4:T5"/>
    <mergeCell ref="U4:U5"/>
    <mergeCell ref="J4:J5"/>
    <mergeCell ref="K4:K5"/>
    <mergeCell ref="L4:L5"/>
    <mergeCell ref="M4:M5"/>
    <mergeCell ref="N4:N5"/>
    <mergeCell ref="O4:O5"/>
    <mergeCell ref="O55:P55"/>
    <mergeCell ref="Q55:R55"/>
    <mergeCell ref="S55:T55"/>
    <mergeCell ref="U55:V55"/>
    <mergeCell ref="W55:X55"/>
    <mergeCell ref="U1:V1"/>
    <mergeCell ref="W1:X1"/>
    <mergeCell ref="A1:A3"/>
    <mergeCell ref="C1:D1"/>
    <mergeCell ref="E1:F1"/>
    <mergeCell ref="G1:H1"/>
    <mergeCell ref="I1:J1"/>
    <mergeCell ref="K1:L1"/>
    <mergeCell ref="C2:D2"/>
    <mergeCell ref="E2:F2"/>
    <mergeCell ref="G2:H2"/>
    <mergeCell ref="I2:J2"/>
    <mergeCell ref="K2:L2"/>
    <mergeCell ref="M2:N2"/>
    <mergeCell ref="O2:P2"/>
    <mergeCell ref="Q2:R2"/>
    <mergeCell ref="C3:D3"/>
    <mergeCell ref="E3:F3"/>
    <mergeCell ref="A11:A15"/>
    <mergeCell ref="A208:B208"/>
    <mergeCell ref="A126:A130"/>
    <mergeCell ref="C105:G105"/>
    <mergeCell ref="C73:C74"/>
    <mergeCell ref="C55:D55"/>
    <mergeCell ref="E55:F55"/>
    <mergeCell ref="G55:H55"/>
    <mergeCell ref="H105:L105"/>
    <mergeCell ref="A183:A184"/>
    <mergeCell ref="D192:D197"/>
    <mergeCell ref="E192:E205"/>
    <mergeCell ref="A198:A202"/>
    <mergeCell ref="D198:D208"/>
    <mergeCell ref="A203:A205"/>
    <mergeCell ref="A206:A207"/>
    <mergeCell ref="E206:E208"/>
    <mergeCell ref="A138:A141"/>
    <mergeCell ref="A176:A177"/>
    <mergeCell ref="A178:A180"/>
    <mergeCell ref="A145:A149"/>
    <mergeCell ref="A169:A173"/>
    <mergeCell ref="A131:A133"/>
    <mergeCell ref="A134:A135"/>
    <mergeCell ref="A174:A175"/>
    <mergeCell ref="C215:H215"/>
    <mergeCell ref="I215:N215"/>
    <mergeCell ref="B215:B216"/>
    <mergeCell ref="M1:N1"/>
    <mergeCell ref="O1:P1"/>
    <mergeCell ref="Q1:R1"/>
    <mergeCell ref="S1:T1"/>
    <mergeCell ref="A4:B4"/>
    <mergeCell ref="C4:C5"/>
    <mergeCell ref="D4:D5"/>
    <mergeCell ref="E4:E5"/>
    <mergeCell ref="F4:F5"/>
    <mergeCell ref="G4:G5"/>
    <mergeCell ref="H4:H5"/>
    <mergeCell ref="I4:I5"/>
    <mergeCell ref="I3:J3"/>
    <mergeCell ref="K3:L3"/>
    <mergeCell ref="M3:N3"/>
    <mergeCell ref="O3:P3"/>
    <mergeCell ref="Q3:R3"/>
    <mergeCell ref="A143:B143"/>
    <mergeCell ref="A155:B155"/>
    <mergeCell ref="A156:B156"/>
    <mergeCell ref="F192:F208"/>
  </mergeCells>
  <conditionalFormatting sqref="A11:B18">
    <cfRule type="dataBar" priority="9">
      <dataBar>
        <cfvo type="min"/>
        <cfvo type="max"/>
        <color rgb="FF63C384"/>
      </dataBar>
    </cfRule>
  </conditionalFormatting>
  <conditionalFormatting sqref="A19:B19 A21:B21">
    <cfRule type="dataBar" priority="8">
      <dataBar>
        <cfvo type="min"/>
        <cfvo type="max"/>
        <color rgb="FF63C384"/>
      </dataBar>
    </cfRule>
  </conditionalFormatting>
  <conditionalFormatting sqref="A22:B22">
    <cfRule type="dataBar" priority="7">
      <dataBar>
        <cfvo type="min"/>
        <cfvo type="max"/>
        <color rgb="FF63C384"/>
      </dataBar>
    </cfRule>
  </conditionalFormatting>
  <conditionalFormatting sqref="A26:B27">
    <cfRule type="dataBar" priority="6">
      <dataBar>
        <cfvo type="min"/>
        <cfvo type="max"/>
        <color rgb="FF63C384"/>
      </dataBar>
    </cfRule>
  </conditionalFormatting>
  <conditionalFormatting sqref="A31:B31">
    <cfRule type="dataBar" priority="5">
      <dataBar>
        <cfvo type="min"/>
        <cfvo type="max"/>
        <color rgb="FF63C384"/>
      </dataBar>
    </cfRule>
  </conditionalFormatting>
  <conditionalFormatting sqref="A33:B36">
    <cfRule type="dataBar" priority="4">
      <dataBar>
        <cfvo type="min"/>
        <cfvo type="max"/>
        <color rgb="FF63C384"/>
      </dataBar>
    </cfRule>
  </conditionalFormatting>
  <conditionalFormatting sqref="A40:B44">
    <cfRule type="dataBar" priority="3">
      <dataBar>
        <cfvo type="min"/>
        <cfvo type="max"/>
        <color rgb="FF63C384"/>
      </dataBar>
    </cfRule>
  </conditionalFormatting>
  <conditionalFormatting sqref="B145:B148">
    <cfRule type="dataBar" priority="2">
      <dataBar>
        <cfvo type="min"/>
        <cfvo type="max"/>
        <color rgb="FF63C384"/>
      </dataBar>
    </cfRule>
  </conditionalFormatting>
  <conditionalFormatting sqref="B175">
    <cfRule type="dataBar" priority="1">
      <dataBar>
        <cfvo type="min"/>
        <cfvo type="max"/>
        <color rgb="FF63C384"/>
      </dataBar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E2AD7997DAA645B7B4940B2C274693" ma:contentTypeVersion="17" ma:contentTypeDescription="Crée un document." ma:contentTypeScope="" ma:versionID="494e1a7897d5c7b637785165f340f945">
  <xsd:schema xmlns:xsd="http://www.w3.org/2001/XMLSchema" xmlns:xs="http://www.w3.org/2001/XMLSchema" xmlns:p="http://schemas.microsoft.com/office/2006/metadata/properties" xmlns:ns2="c00f261c-1ba7-4a71-a066-d911447276f6" xmlns:ns3="ecb310b6-640f-4523-af8c-89dd838d8bb4" targetNamespace="http://schemas.microsoft.com/office/2006/metadata/properties" ma:root="true" ma:fieldsID="6486fc2124261459eebf7f9444b42215" ns2:_="" ns3:_="">
    <xsd:import namespace="c00f261c-1ba7-4a71-a066-d911447276f6"/>
    <xsd:import namespace="ecb310b6-640f-4523-af8c-89dd838d8b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f261c-1ba7-4a71-a066-d911447276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a731026-a5bc-4d28-b754-af1dfa225c50}" ma:internalName="TaxCatchAll" ma:showField="CatchAllData" ma:web="c00f261c-1ba7-4a71-a066-d91144727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310b6-640f-4523-af8c-89dd838d8b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283ecb6b-f441-4b40-9f9b-e14c9d740b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État de validation" ma:internalName="_x00c9_tat_x0020_de_x0020_validation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b310b6-640f-4523-af8c-89dd838d8bb4">
      <Terms xmlns="http://schemas.microsoft.com/office/infopath/2007/PartnerControls"/>
    </lcf76f155ced4ddcb4097134ff3c332f>
    <TaxCatchAll xmlns="c00f261c-1ba7-4a71-a066-d911447276f6" xsi:nil="true"/>
    <_Flow_SignoffStatus xmlns="ecb310b6-640f-4523-af8c-89dd838d8bb4" xsi:nil="true"/>
  </documentManagement>
</p:properties>
</file>

<file path=customXml/itemProps1.xml><?xml version="1.0" encoding="utf-8"?>
<ds:datastoreItem xmlns:ds="http://schemas.openxmlformats.org/officeDocument/2006/customXml" ds:itemID="{A70376E2-F4F0-47C6-AC7D-121C9E546928}"/>
</file>

<file path=customXml/itemProps2.xml><?xml version="1.0" encoding="utf-8"?>
<ds:datastoreItem xmlns:ds="http://schemas.openxmlformats.org/officeDocument/2006/customXml" ds:itemID="{803FB009-5F5A-48CD-8B48-41F7663E2662}"/>
</file>

<file path=customXml/itemProps3.xml><?xml version="1.0" encoding="utf-8"?>
<ds:datastoreItem xmlns:ds="http://schemas.openxmlformats.org/officeDocument/2006/customXml" ds:itemID="{C3501978-2509-48BC-A4F4-94308F1CE0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16</vt:i4>
      </vt:variant>
    </vt:vector>
  </HeadingPairs>
  <TitlesOfParts>
    <vt:vector size="39" baseType="lpstr">
      <vt:lpstr>ISS P15 PB BAN</vt:lpstr>
      <vt:lpstr>ISS P15 PB PAR</vt:lpstr>
      <vt:lpstr>IVR P15 PB BAN</vt:lpstr>
      <vt:lpstr>IVR P15 PB PAR</vt:lpstr>
      <vt:lpstr>ROM P15 PB BAN</vt:lpstr>
      <vt:lpstr>ROM P15 PB PAR</vt:lpstr>
      <vt:lpstr>STO HP5 PB BAN</vt:lpstr>
      <vt:lpstr>STO P15 PB PAR </vt:lpstr>
      <vt:lpstr>Synthèse PB</vt:lpstr>
      <vt:lpstr>ISS P15 PC BAN</vt:lpstr>
      <vt:lpstr>ISS P15 PC PAR</vt:lpstr>
      <vt:lpstr>IVR P15 PC BAN</vt:lpstr>
      <vt:lpstr>IVR P15 PC PAR</vt:lpstr>
      <vt:lpstr>ROM P15 PC BAN </vt:lpstr>
      <vt:lpstr>ROM P15 PC PAR</vt:lpstr>
      <vt:lpstr>STO P15 PC BAN</vt:lpstr>
      <vt:lpstr>STO P15 PC PAR</vt:lpstr>
      <vt:lpstr>Synthèse PC</vt:lpstr>
      <vt:lpstr>SYCTOM Déchets ini. recons.</vt:lpstr>
      <vt:lpstr> SYCTOM Déchets Orga</vt:lpstr>
      <vt:lpstr> SYCTOM Catégories</vt:lpstr>
      <vt:lpstr> SYCTOM CSR (2)</vt:lpstr>
      <vt:lpstr>PCI PB et PC</vt:lpstr>
      <vt:lpstr>' SYCTOM Catégories'!Impression_des_titres</vt:lpstr>
      <vt:lpstr>' SYCTOM Déchets Orga'!Impression_des_titres</vt:lpstr>
      <vt:lpstr>'SYCTOM Déchets ini. recons.'!Impression_des_titres</vt:lpstr>
      <vt:lpstr>' SYCTOM Catégories'!Zone_d_impression</vt:lpstr>
      <vt:lpstr>' SYCTOM CSR (2)'!Zone_d_impression</vt:lpstr>
      <vt:lpstr>' SYCTOM Déchets Orga'!Zone_d_impression</vt:lpstr>
      <vt:lpstr>'ISS P15 PB BAN'!Zone_d_impression</vt:lpstr>
      <vt:lpstr>'ISS P15 PB PAR'!Zone_d_impression</vt:lpstr>
      <vt:lpstr>'IVR P15 PB BAN'!Zone_d_impression</vt:lpstr>
      <vt:lpstr>'IVR P15 PB PAR'!Zone_d_impression</vt:lpstr>
      <vt:lpstr>'ROM P15 PB BAN'!Zone_d_impression</vt:lpstr>
      <vt:lpstr>'ROM P15 PB PAR'!Zone_d_impression</vt:lpstr>
      <vt:lpstr>'STO HP5 PB BAN'!Zone_d_impression</vt:lpstr>
      <vt:lpstr>'STO P15 PB PAR '!Zone_d_impression</vt:lpstr>
      <vt:lpstr>'SYCTOM Déchets ini. recons.'!Zone_d_impression</vt:lpstr>
      <vt:lpstr>'Synthèse PB'!Zone_d_impression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</dc:creator>
  <cp:lastModifiedBy>BOUX Catherine</cp:lastModifiedBy>
  <cp:lastPrinted>2014-10-08T09:13:47Z</cp:lastPrinted>
  <dcterms:created xsi:type="dcterms:W3CDTF">2012-09-10T09:35:36Z</dcterms:created>
  <dcterms:modified xsi:type="dcterms:W3CDTF">2017-11-03T10:56:16Z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0x0101000BE2AD7997DAA645B7B4940B2C274693</vt:lpwstr>
  </property>
</Properties>
</file>