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17.xml" ContentType="application/vnd.openxmlformats-officedocument.drawing+xml"/>
  <Override PartName="/xl/drawings/drawing16.xml" ContentType="application/vnd.openxmlformats-officedocument.drawing+xml"/>
  <Override PartName="/xl/drawings/drawing15.xml" ContentType="application/vnd.openxmlformats-officedocument.drawing+xml"/>
  <Override PartName="/xl/drawings/drawing14.xml" ContentType="application/vnd.openxmlformats-officedocument.drawing+xml"/>
  <Override PartName="/xl/drawings/drawing18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drawings/drawing13.xml" ContentType="application/vnd.openxmlformats-officedocument.drawing+xml"/>
  <Override PartName="/xl/worksheets/sheet1.xml" ContentType="application/vnd.openxmlformats-officedocument.spreadsheetml.worksheet+xml"/>
  <Override PartName="/xl/drawings/drawing11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10.xml" ContentType="application/vnd.openxmlformats-officedocument.drawing+xml"/>
  <Override PartName="/xl/drawings/drawing4.xml" ContentType="application/vnd.openxmlformats-officedocument.drawing+xml"/>
  <Override PartName="/xl/drawings/drawing12.xml" ContentType="application/vnd.openxmlformats-officedocument.drawing+xml"/>
  <Override PartName="/xl/drawings/drawing3.xml" ContentType="application/vnd.openxmlformats-officedocument.drawing+xml"/>
  <Override PartName="/xl/worksheets/sheet14.xml" ContentType="application/vnd.openxmlformats-officedocument.spreadsheetml.worksheet+xml"/>
  <Override PartName="/xl/worksheets/sheet13.xml" ContentType="application/vnd.openxmlformats-officedocument.spreadsheetml.worksheet+xml"/>
  <Override PartName="/xl/worksheets/sheet12.xml" ContentType="application/vnd.openxmlformats-officedocument.spreadsheetml.worksheet+xml"/>
  <Override PartName="/xl/worksheets/sheet11.xml" ContentType="application/vnd.openxmlformats-officedocument.spreadsheetml.worksheet+xml"/>
  <Override PartName="/xl/worksheets/sheet10.xml" ContentType="application/vnd.openxmlformats-officedocument.spreadsheetml.worksheet+xml"/>
  <Override PartName="/xl/worksheets/sheet9.xml" ContentType="application/vnd.openxmlformats-officedocument.spreadsheetml.worksheet+xml"/>
  <Override PartName="/xl/worksheets/sheet8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1.xml" ContentType="application/vnd.openxmlformats-officedocument.spreadsheetml.worksheet+xml"/>
  <Override PartName="/xl/worksheets/sheet20.xml" ContentType="application/vnd.openxmlformats-officedocument.spreadsheetml.worksheet+xml"/>
  <Override PartName="/xl/worksheets/sheet19.xml" ContentType="application/vnd.openxmlformats-officedocument.spreadsheetml.worksheet+xml"/>
  <Override PartName="/xl/worksheets/sheet18.xml" ContentType="application/vnd.openxmlformats-officedocument.spreadsheetml.worksheet+xml"/>
  <Override PartName="/xl/worksheets/sheet7.xml" ContentType="application/vnd.openxmlformats-officedocument.spreadsheetml.worksheet+xml"/>
  <Override PartName="/xl/worksheets/sheet23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externalLinks/externalLink2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9.xml" ContentType="application/vnd.openxmlformats-officedocument.spreadsheetml.externalLink+xml"/>
  <Override PartName="/docProps/app.xml" ContentType="application/vnd.openxmlformats-officedocument.extended-properties+xml"/>
  <Override PartName="/xl/externalLinks/externalLink8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3.xml" ContentType="application/vnd.openxmlformats-officedocument.spreadsheetml.externalLink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externalLinks/externalLink9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.xml" ContentType="application/vnd.openxmlformats-officedocument.spreadsheetml.externalLink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Z:\08-Exploitation\01-Caractérisations\OM\Campagne SYCTOM 2011-2015 VERDICITE\22. données transmises projet romainville\Caractérisations sources par BV\"/>
    </mc:Choice>
  </mc:AlternateContent>
  <bookViews>
    <workbookView xWindow="240" yWindow="195" windowWidth="12120" windowHeight="12210" tabRatio="924" firstSheet="1" activeTab="4"/>
  </bookViews>
  <sheets>
    <sheet name="ISS E15 PB BAN" sheetId="1" r:id="rId1"/>
    <sheet name="ISS E15 PB PAR" sheetId="2" r:id="rId2"/>
    <sheet name="IVR E15 PB BAN" sheetId="3" r:id="rId3"/>
    <sheet name="IVR E15 PB PAR" sheetId="4" r:id="rId4"/>
    <sheet name="ROM E15 PB BAN" sheetId="5" r:id="rId5"/>
    <sheet name="ROM E15 PB PAR" sheetId="6" r:id="rId6"/>
    <sheet name="STO E15 PB BAN" sheetId="7" r:id="rId7"/>
    <sheet name="STO E15 PB PAR " sheetId="8" r:id="rId8"/>
    <sheet name="Synthèse PB" sheetId="9" r:id="rId9"/>
    <sheet name="ISS E15 PC BAN" sheetId="17" r:id="rId10"/>
    <sheet name="ISS E15 PC PAR" sheetId="16" r:id="rId11"/>
    <sheet name="IVR E15 PC BAN" sheetId="21" r:id="rId12"/>
    <sheet name="IVR E15 PC PAR" sheetId="20" r:id="rId13"/>
    <sheet name="ROM E15 PC BAN " sheetId="19" r:id="rId14"/>
    <sheet name="ROM E15 PC PAR" sheetId="23" r:id="rId15"/>
    <sheet name="STO E15 PC BAN" sheetId="22" r:id="rId16"/>
    <sheet name="STO E15 PC PAR" sheetId="18" r:id="rId17"/>
    <sheet name="Synthèse PC" sheetId="15" r:id="rId18"/>
    <sheet name="E15" sheetId="24" r:id="rId19"/>
    <sheet name="SYCTOM Déchets ini. recons." sheetId="25" r:id="rId20"/>
    <sheet name=" SYCTOM Déchets Orga" sheetId="26" r:id="rId21"/>
    <sheet name=" SYCTOM Catégories" sheetId="27" r:id="rId22"/>
    <sheet name=" SYCTOM CSR (2)" sheetId="28" r:id="rId23"/>
    <sheet name="PCI PB et PC" sheetId="29" r:id="rId24"/>
  </sheets>
  <externalReferences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</externalReferences>
  <definedNames>
    <definedName name="_xlnm.Print_Titles" localSheetId="21">' SYCTOM Catégories'!$A:$C,' SYCTOM Catégories'!$3:$4</definedName>
    <definedName name="_xlnm.Print_Titles" localSheetId="20">' SYCTOM Déchets Orga'!$A:$C,' SYCTOM Déchets Orga'!$3:$4</definedName>
    <definedName name="_xlnm.Print_Titles" localSheetId="19">'SYCTOM Déchets ini. recons.'!$A:$C</definedName>
    <definedName name="_xlnm.Print_Area" localSheetId="21">' SYCTOM Catégories'!$A$1:$R$27</definedName>
    <definedName name="_xlnm.Print_Area" localSheetId="22">' SYCTOM CSR (2)'!$B$1:$H$12</definedName>
    <definedName name="_xlnm.Print_Area" localSheetId="20">' SYCTOM Déchets Orga'!$A$1:$K$32</definedName>
    <definedName name="_xlnm.Print_Area" localSheetId="0">'ISS E15 PB BAN'!$A$1:$J$59</definedName>
    <definedName name="_xlnm.Print_Area" localSheetId="1">'ISS E15 PB PAR'!$A$1:$J$59</definedName>
    <definedName name="_xlnm.Print_Area" localSheetId="2">'IVR E15 PB BAN'!$A$1:$J$59</definedName>
    <definedName name="_xlnm.Print_Area" localSheetId="3">'IVR E15 PB PAR'!$A$1:$J$59</definedName>
    <definedName name="_xlnm.Print_Area" localSheetId="4">'ROM E15 PB BAN'!$A$1:$J$59</definedName>
    <definedName name="_xlnm.Print_Area" localSheetId="5">'ROM E15 PB PAR'!$A$1:$J$59</definedName>
    <definedName name="_xlnm.Print_Area" localSheetId="6">'STO E15 PB BAN'!$A$1:$J$59</definedName>
    <definedName name="_xlnm.Print_Area" localSheetId="7">'STO E15 PB PAR '!$A$1:$J$59</definedName>
    <definedName name="_xlnm.Print_Area" localSheetId="19">'SYCTOM Déchets ini. recons.'!$A$1:$K$31</definedName>
    <definedName name="_xlnm.Print_Area" localSheetId="8">'Synthèse PB'!$B$89:$M$103</definedName>
  </definedNames>
  <calcPr calcId="162913" iterateDelta="1E-4"/>
</workbook>
</file>

<file path=xl/calcChain.xml><?xml version="1.0" encoding="utf-8"?>
<calcChain xmlns="http://schemas.openxmlformats.org/spreadsheetml/2006/main">
  <c r="AE14" i="29" l="1"/>
  <c r="AF14" i="29" s="1"/>
  <c r="AE13" i="29"/>
  <c r="AF13" i="29" s="1"/>
  <c r="AE12" i="29"/>
  <c r="AF12" i="29" s="1"/>
  <c r="P12" i="29"/>
  <c r="O12" i="29"/>
  <c r="AE11" i="29"/>
  <c r="AF11" i="29" s="1"/>
  <c r="P11" i="29"/>
  <c r="O11" i="29"/>
  <c r="AF10" i="29"/>
  <c r="AE10" i="29"/>
  <c r="AG10" i="29" s="1"/>
  <c r="P10" i="29"/>
  <c r="O10" i="29"/>
  <c r="AE9" i="29"/>
  <c r="AF9" i="29" s="1"/>
  <c r="P9" i="29"/>
  <c r="O9" i="29"/>
  <c r="AE8" i="29"/>
  <c r="AF8" i="29" s="1"/>
  <c r="P8" i="29"/>
  <c r="O8" i="29"/>
  <c r="AE7" i="29"/>
  <c r="AF7" i="29" s="1"/>
  <c r="AE6" i="29"/>
  <c r="AF6" i="29" s="1"/>
  <c r="P6" i="29"/>
  <c r="O6" i="29"/>
  <c r="AE5" i="29"/>
  <c r="P5" i="29"/>
  <c r="O5" i="29"/>
  <c r="R2" i="29"/>
  <c r="B31" i="28"/>
  <c r="I31" i="28" s="1"/>
  <c r="B30" i="28"/>
  <c r="I30" i="28" s="1"/>
  <c r="B29" i="28"/>
  <c r="I29" i="28" s="1"/>
  <c r="B28" i="28"/>
  <c r="I28" i="28" s="1"/>
  <c r="B27" i="28"/>
  <c r="I27" i="28" s="1"/>
  <c r="B26" i="28"/>
  <c r="I26" i="28" s="1"/>
  <c r="B25" i="28"/>
  <c r="I25" i="28" s="1"/>
  <c r="B24" i="28"/>
  <c r="I24" i="28" s="1"/>
  <c r="B15" i="28"/>
  <c r="B21" i="28" s="1"/>
  <c r="R28" i="27"/>
  <c r="Q28" i="27"/>
  <c r="P28" i="27"/>
  <c r="O28" i="27"/>
  <c r="N28" i="27"/>
  <c r="M28" i="27"/>
  <c r="L28" i="27"/>
  <c r="K28" i="27"/>
  <c r="J28" i="27"/>
  <c r="I28" i="27"/>
  <c r="H28" i="27"/>
  <c r="G28" i="27"/>
  <c r="F28" i="27"/>
  <c r="E28" i="27"/>
  <c r="D28" i="27"/>
  <c r="BQ27" i="27"/>
  <c r="BP27" i="27"/>
  <c r="BO27" i="27"/>
  <c r="BN27" i="27"/>
  <c r="BM27" i="27"/>
  <c r="BL27" i="27"/>
  <c r="BK27" i="27"/>
  <c r="BJ27" i="27"/>
  <c r="BI27" i="27"/>
  <c r="BH27" i="27"/>
  <c r="BG27" i="27"/>
  <c r="BF27" i="27"/>
  <c r="BE27" i="27"/>
  <c r="BD27" i="27"/>
  <c r="BC27" i="27"/>
  <c r="AZ27" i="27"/>
  <c r="AY27" i="27"/>
  <c r="AX27" i="27"/>
  <c r="AW27" i="27"/>
  <c r="AV27" i="27"/>
  <c r="AU27" i="27"/>
  <c r="AT27" i="27"/>
  <c r="AS27" i="27"/>
  <c r="AR27" i="27"/>
  <c r="AQ27" i="27"/>
  <c r="AP27" i="27"/>
  <c r="AO27" i="27"/>
  <c r="AN27" i="27"/>
  <c r="AM27" i="27"/>
  <c r="AL27" i="27"/>
  <c r="BQ26" i="27"/>
  <c r="BP26" i="27"/>
  <c r="BO26" i="27"/>
  <c r="BN26" i="27"/>
  <c r="BM26" i="27"/>
  <c r="BL26" i="27"/>
  <c r="BK26" i="27"/>
  <c r="BJ26" i="27"/>
  <c r="BI26" i="27"/>
  <c r="BH26" i="27"/>
  <c r="BG26" i="27"/>
  <c r="BF26" i="27"/>
  <c r="BE26" i="27"/>
  <c r="BD26" i="27"/>
  <c r="BC26" i="27"/>
  <c r="AZ26" i="27"/>
  <c r="AY26" i="27"/>
  <c r="AX26" i="27"/>
  <c r="AW26" i="27"/>
  <c r="AV26" i="27"/>
  <c r="AU26" i="27"/>
  <c r="AT26" i="27"/>
  <c r="AS26" i="27"/>
  <c r="AR26" i="27"/>
  <c r="AQ26" i="27"/>
  <c r="AP26" i="27"/>
  <c r="AO26" i="27"/>
  <c r="AN26" i="27"/>
  <c r="AM26" i="27"/>
  <c r="AL26" i="27"/>
  <c r="BQ24" i="27"/>
  <c r="BP24" i="27"/>
  <c r="BO24" i="27"/>
  <c r="BN24" i="27"/>
  <c r="BM24" i="27"/>
  <c r="BL24" i="27"/>
  <c r="BK24" i="27"/>
  <c r="BJ24" i="27"/>
  <c r="BI24" i="27"/>
  <c r="BH24" i="27"/>
  <c r="BG24" i="27"/>
  <c r="BF24" i="27"/>
  <c r="BE24" i="27"/>
  <c r="BD24" i="27"/>
  <c r="BC24" i="27"/>
  <c r="AZ24" i="27"/>
  <c r="AY24" i="27"/>
  <c r="AX24" i="27"/>
  <c r="AW24" i="27"/>
  <c r="AV24" i="27"/>
  <c r="AU24" i="27"/>
  <c r="AT24" i="27"/>
  <c r="AS24" i="27"/>
  <c r="AR24" i="27"/>
  <c r="AQ24" i="27"/>
  <c r="AP24" i="27"/>
  <c r="AO24" i="27"/>
  <c r="AN24" i="27"/>
  <c r="AM24" i="27"/>
  <c r="AL24" i="27"/>
  <c r="BQ23" i="27"/>
  <c r="BP23" i="27"/>
  <c r="BO23" i="27"/>
  <c r="BN23" i="27"/>
  <c r="BM23" i="27"/>
  <c r="BL23" i="27"/>
  <c r="BK23" i="27"/>
  <c r="BJ23" i="27"/>
  <c r="BI23" i="27"/>
  <c r="BH23" i="27"/>
  <c r="BG23" i="27"/>
  <c r="BF23" i="27"/>
  <c r="BE23" i="27"/>
  <c r="BD23" i="27"/>
  <c r="BC23" i="27"/>
  <c r="AZ23" i="27"/>
  <c r="AY23" i="27"/>
  <c r="AX23" i="27"/>
  <c r="AW23" i="27"/>
  <c r="AV23" i="27"/>
  <c r="AU23" i="27"/>
  <c r="AT23" i="27"/>
  <c r="AS23" i="27"/>
  <c r="AR23" i="27"/>
  <c r="AQ23" i="27"/>
  <c r="AP23" i="27"/>
  <c r="AO23" i="27"/>
  <c r="AN23" i="27"/>
  <c r="AM23" i="27"/>
  <c r="AL23" i="27"/>
  <c r="BQ22" i="27"/>
  <c r="BP22" i="27"/>
  <c r="BO22" i="27"/>
  <c r="BN22" i="27"/>
  <c r="BM22" i="27"/>
  <c r="BL22" i="27"/>
  <c r="BK22" i="27"/>
  <c r="BJ22" i="27"/>
  <c r="BI22" i="27"/>
  <c r="BH22" i="27"/>
  <c r="BG22" i="27"/>
  <c r="BF22" i="27"/>
  <c r="BE22" i="27"/>
  <c r="BD22" i="27"/>
  <c r="BC22" i="27"/>
  <c r="AZ22" i="27"/>
  <c r="AY22" i="27"/>
  <c r="AX22" i="27"/>
  <c r="AW22" i="27"/>
  <c r="AV22" i="27"/>
  <c r="AU22" i="27"/>
  <c r="AT22" i="27"/>
  <c r="AS22" i="27"/>
  <c r="AR22" i="27"/>
  <c r="AQ22" i="27"/>
  <c r="AP22" i="27"/>
  <c r="AO22" i="27"/>
  <c r="AN22" i="27"/>
  <c r="AM22" i="27"/>
  <c r="AL22" i="27"/>
  <c r="BQ21" i="27"/>
  <c r="BP21" i="27"/>
  <c r="BN21" i="27"/>
  <c r="BH21" i="27"/>
  <c r="BF21" i="27"/>
  <c r="BE21" i="27"/>
  <c r="BC21" i="27"/>
  <c r="AZ21" i="27"/>
  <c r="AY21" i="27"/>
  <c r="AX21" i="27"/>
  <c r="AW21" i="27"/>
  <c r="AQ21" i="27"/>
  <c r="AO21" i="27"/>
  <c r="AN21" i="27"/>
  <c r="AL21" i="27"/>
  <c r="BQ20" i="27"/>
  <c r="BP20" i="27"/>
  <c r="BO20" i="27"/>
  <c r="BN20" i="27"/>
  <c r="BM20" i="27"/>
  <c r="BL20" i="27"/>
  <c r="BK20" i="27"/>
  <c r="BJ20" i="27"/>
  <c r="BI20" i="27"/>
  <c r="BH20" i="27"/>
  <c r="BG20" i="27"/>
  <c r="BF20" i="27"/>
  <c r="BE20" i="27"/>
  <c r="BD20" i="27"/>
  <c r="BC20" i="27"/>
  <c r="AZ20" i="27"/>
  <c r="AY20" i="27"/>
  <c r="AX20" i="27"/>
  <c r="AW20" i="27"/>
  <c r="AV20" i="27"/>
  <c r="AU20" i="27"/>
  <c r="AT20" i="27"/>
  <c r="AS20" i="27"/>
  <c r="AR20" i="27"/>
  <c r="AQ20" i="27"/>
  <c r="AP20" i="27"/>
  <c r="AO20" i="27"/>
  <c r="AN20" i="27"/>
  <c r="AM20" i="27"/>
  <c r="AL20" i="27"/>
  <c r="BQ19" i="27"/>
  <c r="BP19" i="27"/>
  <c r="BO19" i="27"/>
  <c r="BN19" i="27"/>
  <c r="BM19" i="27"/>
  <c r="BL19" i="27"/>
  <c r="BK19" i="27"/>
  <c r="BJ19" i="27"/>
  <c r="BI19" i="27"/>
  <c r="BH19" i="27"/>
  <c r="BG19" i="27"/>
  <c r="BF19" i="27"/>
  <c r="BE19" i="27"/>
  <c r="BD19" i="27"/>
  <c r="BC19" i="27"/>
  <c r="AZ19" i="27"/>
  <c r="AY19" i="27"/>
  <c r="AX19" i="27"/>
  <c r="AW19" i="27"/>
  <c r="AV19" i="27"/>
  <c r="AU19" i="27"/>
  <c r="AT19" i="27"/>
  <c r="AS19" i="27"/>
  <c r="AR19" i="27"/>
  <c r="AQ19" i="27"/>
  <c r="AP19" i="27"/>
  <c r="AO19" i="27"/>
  <c r="AN19" i="27"/>
  <c r="AM19" i="27"/>
  <c r="AL19" i="27"/>
  <c r="BQ18" i="27"/>
  <c r="BP18" i="27"/>
  <c r="BO18" i="27"/>
  <c r="BN18" i="27"/>
  <c r="BM18" i="27"/>
  <c r="BL18" i="27"/>
  <c r="BK18" i="27"/>
  <c r="BJ18" i="27"/>
  <c r="BI18" i="27"/>
  <c r="BH18" i="27"/>
  <c r="BG18" i="27"/>
  <c r="BF18" i="27"/>
  <c r="BE18" i="27"/>
  <c r="BD18" i="27"/>
  <c r="BC18" i="27"/>
  <c r="AZ18" i="27"/>
  <c r="AY18" i="27"/>
  <c r="AX18" i="27"/>
  <c r="AW18" i="27"/>
  <c r="AV18" i="27"/>
  <c r="AU18" i="27"/>
  <c r="AT18" i="27"/>
  <c r="AS18" i="27"/>
  <c r="AR18" i="27"/>
  <c r="AQ18" i="27"/>
  <c r="AP18" i="27"/>
  <c r="AO18" i="27"/>
  <c r="AN18" i="27"/>
  <c r="AM18" i="27"/>
  <c r="AL18" i="27"/>
  <c r="BQ17" i="27"/>
  <c r="BP17" i="27"/>
  <c r="BO17" i="27"/>
  <c r="BN17" i="27"/>
  <c r="BM17" i="27"/>
  <c r="BL17" i="27"/>
  <c r="BK17" i="27"/>
  <c r="BJ17" i="27"/>
  <c r="BI17" i="27"/>
  <c r="BH17" i="27"/>
  <c r="BG17" i="27"/>
  <c r="BF17" i="27"/>
  <c r="BE17" i="27"/>
  <c r="BD17" i="27"/>
  <c r="BC17" i="27"/>
  <c r="AZ17" i="27"/>
  <c r="AY17" i="27"/>
  <c r="AX17" i="27"/>
  <c r="AW17" i="27"/>
  <c r="AV17" i="27"/>
  <c r="AU17" i="27"/>
  <c r="AT17" i="27"/>
  <c r="AS17" i="27"/>
  <c r="AR17" i="27"/>
  <c r="AQ17" i="27"/>
  <c r="AP17" i="27"/>
  <c r="AO17" i="27"/>
  <c r="AN17" i="27"/>
  <c r="AM17" i="27"/>
  <c r="AL17" i="27"/>
  <c r="BQ16" i="27"/>
  <c r="BP16" i="27"/>
  <c r="BO16" i="27"/>
  <c r="BN16" i="27"/>
  <c r="BM16" i="27"/>
  <c r="BL16" i="27"/>
  <c r="BK16" i="27"/>
  <c r="BJ16" i="27"/>
  <c r="BI16" i="27"/>
  <c r="BH16" i="27"/>
  <c r="BG16" i="27"/>
  <c r="BF16" i="27"/>
  <c r="BE16" i="27"/>
  <c r="BD16" i="27"/>
  <c r="BC16" i="27"/>
  <c r="AZ16" i="27"/>
  <c r="AY16" i="27"/>
  <c r="AX16" i="27"/>
  <c r="AW16" i="27"/>
  <c r="AV16" i="27"/>
  <c r="AU16" i="27"/>
  <c r="AT16" i="27"/>
  <c r="AS16" i="27"/>
  <c r="AR16" i="27"/>
  <c r="AQ16" i="27"/>
  <c r="AP16" i="27"/>
  <c r="AO16" i="27"/>
  <c r="AN16" i="27"/>
  <c r="AM16" i="27"/>
  <c r="AL16" i="27"/>
  <c r="BQ14" i="27"/>
  <c r="BP14" i="27"/>
  <c r="BO14" i="27"/>
  <c r="BN14" i="27"/>
  <c r="BM14" i="27"/>
  <c r="BL14" i="27"/>
  <c r="BK14" i="27"/>
  <c r="BJ14" i="27"/>
  <c r="BI14" i="27"/>
  <c r="BH14" i="27"/>
  <c r="BG14" i="27"/>
  <c r="BF14" i="27"/>
  <c r="BE14" i="27"/>
  <c r="BD14" i="27"/>
  <c r="BC14" i="27"/>
  <c r="AZ14" i="27"/>
  <c r="AY14" i="27"/>
  <c r="AX14" i="27"/>
  <c r="AW14" i="27"/>
  <c r="AV14" i="27"/>
  <c r="AU14" i="27"/>
  <c r="AT14" i="27"/>
  <c r="AS14" i="27"/>
  <c r="AR14" i="27"/>
  <c r="AQ14" i="27"/>
  <c r="AP14" i="27"/>
  <c r="AO14" i="27"/>
  <c r="AN14" i="27"/>
  <c r="AM14" i="27"/>
  <c r="AL14" i="27"/>
  <c r="BQ13" i="27"/>
  <c r="BP13" i="27"/>
  <c r="BO13" i="27"/>
  <c r="BN13" i="27"/>
  <c r="BM13" i="27"/>
  <c r="BL13" i="27"/>
  <c r="BK13" i="27"/>
  <c r="BJ13" i="27"/>
  <c r="BI13" i="27"/>
  <c r="BH13" i="27"/>
  <c r="BG13" i="27"/>
  <c r="BF13" i="27"/>
  <c r="BE13" i="27"/>
  <c r="BD13" i="27"/>
  <c r="BC13" i="27"/>
  <c r="AZ13" i="27"/>
  <c r="AY13" i="27"/>
  <c r="AX13" i="27"/>
  <c r="AW13" i="27"/>
  <c r="AV13" i="27"/>
  <c r="AU13" i="27"/>
  <c r="AT13" i="27"/>
  <c r="AS13" i="27"/>
  <c r="AR13" i="27"/>
  <c r="AQ13" i="27"/>
  <c r="AP13" i="27"/>
  <c r="AO13" i="27"/>
  <c r="AN13" i="27"/>
  <c r="AM13" i="27"/>
  <c r="AL13" i="27"/>
  <c r="BQ12" i="27"/>
  <c r="BP12" i="27"/>
  <c r="BO12" i="27"/>
  <c r="BN12" i="27"/>
  <c r="BM12" i="27"/>
  <c r="BL12" i="27"/>
  <c r="BK12" i="27"/>
  <c r="BJ12" i="27"/>
  <c r="BI12" i="27"/>
  <c r="BH12" i="27"/>
  <c r="BG12" i="27"/>
  <c r="BF12" i="27"/>
  <c r="BE12" i="27"/>
  <c r="BD12" i="27"/>
  <c r="BC12" i="27"/>
  <c r="AZ12" i="27"/>
  <c r="AY12" i="27"/>
  <c r="AX12" i="27"/>
  <c r="AW12" i="27"/>
  <c r="AV12" i="27"/>
  <c r="AU12" i="27"/>
  <c r="AT12" i="27"/>
  <c r="AS12" i="27"/>
  <c r="AR12" i="27"/>
  <c r="AQ12" i="27"/>
  <c r="AP12" i="27"/>
  <c r="AO12" i="27"/>
  <c r="AN12" i="27"/>
  <c r="AM12" i="27"/>
  <c r="AL12" i="27"/>
  <c r="BQ11" i="27"/>
  <c r="BP11" i="27"/>
  <c r="BO11" i="27"/>
  <c r="BN11" i="27"/>
  <c r="BM11" i="27"/>
  <c r="BL11" i="27"/>
  <c r="BK11" i="27"/>
  <c r="BJ11" i="27"/>
  <c r="BI11" i="27"/>
  <c r="BH11" i="27"/>
  <c r="BG11" i="27"/>
  <c r="BF11" i="27"/>
  <c r="BE11" i="27"/>
  <c r="BD11" i="27"/>
  <c r="BC11" i="27"/>
  <c r="AZ11" i="27"/>
  <c r="AY11" i="27"/>
  <c r="AX11" i="27"/>
  <c r="AW11" i="27"/>
  <c r="AV11" i="27"/>
  <c r="AU11" i="27"/>
  <c r="AT11" i="27"/>
  <c r="AR11" i="27"/>
  <c r="AQ11" i="27"/>
  <c r="AP11" i="27"/>
  <c r="AO11" i="27"/>
  <c r="AN11" i="27"/>
  <c r="AM11" i="27"/>
  <c r="AL11" i="27"/>
  <c r="BQ10" i="27"/>
  <c r="BP10" i="27"/>
  <c r="BO10" i="27"/>
  <c r="BN10" i="27"/>
  <c r="BM10" i="27"/>
  <c r="BL10" i="27"/>
  <c r="BK10" i="27"/>
  <c r="BJ10" i="27"/>
  <c r="BI10" i="27"/>
  <c r="BH10" i="27"/>
  <c r="BG10" i="27"/>
  <c r="BF10" i="27"/>
  <c r="BE10" i="27"/>
  <c r="BD10" i="27"/>
  <c r="BC10" i="27"/>
  <c r="AZ10" i="27"/>
  <c r="AY10" i="27"/>
  <c r="AX10" i="27"/>
  <c r="AW10" i="27"/>
  <c r="AV10" i="27"/>
  <c r="AU10" i="27"/>
  <c r="AT10" i="27"/>
  <c r="AR10" i="27"/>
  <c r="AQ10" i="27"/>
  <c r="AP10" i="27"/>
  <c r="AO10" i="27"/>
  <c r="AN10" i="27"/>
  <c r="AM10" i="27"/>
  <c r="AL10" i="27"/>
  <c r="BQ9" i="27"/>
  <c r="BP9" i="27"/>
  <c r="BO9" i="27"/>
  <c r="BN9" i="27"/>
  <c r="BM9" i="27"/>
  <c r="BL9" i="27"/>
  <c r="BK9" i="27"/>
  <c r="BJ9" i="27"/>
  <c r="BI9" i="27"/>
  <c r="BH9" i="27"/>
  <c r="BG9" i="27"/>
  <c r="BF9" i="27"/>
  <c r="BE9" i="27"/>
  <c r="BD9" i="27"/>
  <c r="BC9" i="27"/>
  <c r="AZ9" i="27"/>
  <c r="AY9" i="27"/>
  <c r="AX9" i="27"/>
  <c r="AW9" i="27"/>
  <c r="AV9" i="27"/>
  <c r="AU9" i="27"/>
  <c r="AT9" i="27"/>
  <c r="AR9" i="27"/>
  <c r="AQ9" i="27"/>
  <c r="AP9" i="27"/>
  <c r="AO9" i="27"/>
  <c r="AN9" i="27"/>
  <c r="AM9" i="27"/>
  <c r="AL9" i="27"/>
  <c r="BQ5" i="27"/>
  <c r="BP5" i="27"/>
  <c r="BO5" i="27"/>
  <c r="BN5" i="27"/>
  <c r="BM5" i="27"/>
  <c r="BL5" i="27"/>
  <c r="BK5" i="27"/>
  <c r="BJ5" i="27"/>
  <c r="BI5" i="27"/>
  <c r="BH5" i="27"/>
  <c r="BG5" i="27"/>
  <c r="BF5" i="27"/>
  <c r="BE5" i="27"/>
  <c r="BD5" i="27"/>
  <c r="BC5" i="27"/>
  <c r="AZ5" i="27"/>
  <c r="AY5" i="27"/>
  <c r="AX5" i="27"/>
  <c r="AW5" i="27"/>
  <c r="AV5" i="27"/>
  <c r="AU5" i="27"/>
  <c r="AT5" i="27"/>
  <c r="AR5" i="27"/>
  <c r="AQ5" i="27"/>
  <c r="AP5" i="27"/>
  <c r="AO5" i="27"/>
  <c r="AN5" i="27"/>
  <c r="AM5" i="27"/>
  <c r="AL5" i="27"/>
  <c r="AI4" i="27"/>
  <c r="AZ4" i="27" s="1"/>
  <c r="BQ4" i="27" s="1"/>
  <c r="AH4" i="27"/>
  <c r="AY4" i="27" s="1"/>
  <c r="BP4" i="27" s="1"/>
  <c r="AG4" i="27"/>
  <c r="AX4" i="27" s="1"/>
  <c r="BO4" i="27" s="1"/>
  <c r="AF4" i="27"/>
  <c r="AW4" i="27" s="1"/>
  <c r="BN4" i="27" s="1"/>
  <c r="AE4" i="27"/>
  <c r="AV4" i="27" s="1"/>
  <c r="BM4" i="27" s="1"/>
  <c r="AD4" i="27"/>
  <c r="AU4" i="27" s="1"/>
  <c r="BL4" i="27" s="1"/>
  <c r="AC4" i="27"/>
  <c r="AT4" i="27" s="1"/>
  <c r="BK4" i="27" s="1"/>
  <c r="AB4" i="27"/>
  <c r="AS4" i="27" s="1"/>
  <c r="BJ4" i="27" s="1"/>
  <c r="AA4" i="27"/>
  <c r="AR4" i="27" s="1"/>
  <c r="BI4" i="27" s="1"/>
  <c r="Z4" i="27"/>
  <c r="AQ4" i="27" s="1"/>
  <c r="BH4" i="27" s="1"/>
  <c r="Y4" i="27"/>
  <c r="AP4" i="27" s="1"/>
  <c r="BG4" i="27" s="1"/>
  <c r="X4" i="27"/>
  <c r="AO4" i="27" s="1"/>
  <c r="BF4" i="27" s="1"/>
  <c r="W4" i="27"/>
  <c r="AN4" i="27" s="1"/>
  <c r="BE4" i="27" s="1"/>
  <c r="V4" i="27"/>
  <c r="AM4" i="27" s="1"/>
  <c r="BD4" i="27" s="1"/>
  <c r="U4" i="27"/>
  <c r="AL4" i="27" s="1"/>
  <c r="BC4" i="27" s="1"/>
  <c r="P2" i="27"/>
  <c r="L2" i="27"/>
  <c r="H2" i="27"/>
  <c r="D2" i="26"/>
  <c r="H2" i="26" s="1"/>
  <c r="V31" i="25"/>
  <c r="U31" i="25"/>
  <c r="V30" i="25"/>
  <c r="U30" i="25"/>
  <c r="V29" i="25"/>
  <c r="U29" i="25"/>
  <c r="V28" i="25"/>
  <c r="U28" i="25"/>
  <c r="T27" i="25"/>
  <c r="V27" i="25" s="1"/>
  <c r="V25" i="25"/>
  <c r="U25" i="25"/>
  <c r="V24" i="25"/>
  <c r="U24" i="25"/>
  <c r="V23" i="25"/>
  <c r="U23" i="25"/>
  <c r="V22" i="25"/>
  <c r="U22" i="25"/>
  <c r="V21" i="25"/>
  <c r="U21" i="25"/>
  <c r="V20" i="25"/>
  <c r="U20" i="25"/>
  <c r="V19" i="25"/>
  <c r="U19" i="25"/>
  <c r="V18" i="25"/>
  <c r="U18" i="25"/>
  <c r="V17" i="25"/>
  <c r="U17" i="25"/>
  <c r="V16" i="25"/>
  <c r="U16" i="25"/>
  <c r="V14" i="25"/>
  <c r="U14" i="25"/>
  <c r="V13" i="25"/>
  <c r="U13" i="25"/>
  <c r="V12" i="25"/>
  <c r="U12" i="25"/>
  <c r="T11" i="25"/>
  <c r="U11" i="25" s="1"/>
  <c r="T10" i="25"/>
  <c r="V10" i="25" s="1"/>
  <c r="T9" i="25"/>
  <c r="U9" i="25" s="1"/>
  <c r="D2" i="25"/>
  <c r="H2" i="25" s="1"/>
  <c r="V9" i="25" l="1"/>
  <c r="AG14" i="29"/>
  <c r="AG7" i="29"/>
  <c r="AG11" i="29"/>
  <c r="AG13" i="29"/>
  <c r="U10" i="25"/>
  <c r="V11" i="25"/>
  <c r="U27" i="25"/>
  <c r="AG9" i="29"/>
  <c r="AG6" i="29"/>
  <c r="AG8" i="29"/>
  <c r="AG12" i="29"/>
  <c r="M89" i="24" l="1"/>
  <c r="J89" i="24"/>
  <c r="I89" i="24"/>
  <c r="H89" i="24"/>
  <c r="G89" i="24"/>
  <c r="F89" i="24"/>
  <c r="D89" i="24"/>
  <c r="C89" i="24"/>
  <c r="K89" i="24" s="1"/>
  <c r="L89" i="24" s="1"/>
  <c r="B89" i="24"/>
  <c r="M88" i="24"/>
  <c r="I88" i="24"/>
  <c r="H88" i="24"/>
  <c r="G88" i="24"/>
  <c r="F88" i="24"/>
  <c r="D88" i="24"/>
  <c r="C88" i="24"/>
  <c r="B88" i="24"/>
  <c r="M87" i="24"/>
  <c r="J87" i="24"/>
  <c r="I87" i="24"/>
  <c r="H87" i="24"/>
  <c r="G87" i="24"/>
  <c r="F87" i="24"/>
  <c r="D87" i="24"/>
  <c r="C87" i="24"/>
  <c r="K87" i="24" s="1"/>
  <c r="B87" i="24"/>
  <c r="M86" i="24"/>
  <c r="J86" i="24"/>
  <c r="I86" i="24"/>
  <c r="H86" i="24"/>
  <c r="H90" i="24" s="1"/>
  <c r="G86" i="24"/>
  <c r="F86" i="24"/>
  <c r="F90" i="24" s="1"/>
  <c r="E86" i="24"/>
  <c r="D86" i="24"/>
  <c r="D90" i="24" s="1"/>
  <c r="C86" i="24"/>
  <c r="B86" i="24"/>
  <c r="M84" i="24"/>
  <c r="I84" i="24"/>
  <c r="H84" i="24"/>
  <c r="G84" i="24"/>
  <c r="F84" i="24"/>
  <c r="D84" i="24"/>
  <c r="C84" i="24"/>
  <c r="B84" i="24"/>
  <c r="M83" i="24"/>
  <c r="I83" i="24"/>
  <c r="H83" i="24"/>
  <c r="G83" i="24"/>
  <c r="F83" i="24"/>
  <c r="D83" i="24"/>
  <c r="D85" i="24" s="1"/>
  <c r="C83" i="24"/>
  <c r="B83" i="24"/>
  <c r="M82" i="24"/>
  <c r="J82" i="24"/>
  <c r="I82" i="24"/>
  <c r="H82" i="24"/>
  <c r="G82" i="24"/>
  <c r="F82" i="24"/>
  <c r="D82" i="24"/>
  <c r="C82" i="24"/>
  <c r="K82" i="24" s="1"/>
  <c r="L82" i="24" s="1"/>
  <c r="B82" i="24"/>
  <c r="M81" i="24"/>
  <c r="J81" i="24"/>
  <c r="I81" i="24"/>
  <c r="I85" i="24" s="1"/>
  <c r="H81" i="24"/>
  <c r="G81" i="24"/>
  <c r="G85" i="24" s="1"/>
  <c r="F81" i="24"/>
  <c r="E81" i="24"/>
  <c r="D81" i="24"/>
  <c r="C81" i="24"/>
  <c r="K81" i="24" s="1"/>
  <c r="L81" i="24" s="1"/>
  <c r="B81" i="24"/>
  <c r="M79" i="24"/>
  <c r="J79" i="24"/>
  <c r="I79" i="24"/>
  <c r="H79" i="24"/>
  <c r="G79" i="24"/>
  <c r="F79" i="24"/>
  <c r="D79" i="24"/>
  <c r="C79" i="24"/>
  <c r="K79" i="24" s="1"/>
  <c r="B79" i="24"/>
  <c r="M78" i="24"/>
  <c r="J78" i="24"/>
  <c r="I78" i="24"/>
  <c r="H78" i="24"/>
  <c r="G78" i="24"/>
  <c r="F78" i="24"/>
  <c r="E78" i="24"/>
  <c r="D78" i="24"/>
  <c r="C78" i="24"/>
  <c r="B78" i="24"/>
  <c r="M77" i="24"/>
  <c r="I77" i="24"/>
  <c r="H77" i="24"/>
  <c r="G77" i="24"/>
  <c r="F77" i="24"/>
  <c r="D77" i="24"/>
  <c r="C77" i="24"/>
  <c r="B77" i="24"/>
  <c r="M76" i="24"/>
  <c r="I76" i="24"/>
  <c r="H76" i="24"/>
  <c r="G76" i="24"/>
  <c r="F76" i="24"/>
  <c r="D76" i="24"/>
  <c r="D80" i="24" s="1"/>
  <c r="C76" i="24"/>
  <c r="C80" i="24" s="1"/>
  <c r="B76" i="24"/>
  <c r="M74" i="24"/>
  <c r="J74" i="24"/>
  <c r="I74" i="24"/>
  <c r="H74" i="24"/>
  <c r="G74" i="24"/>
  <c r="F74" i="24"/>
  <c r="E74" i="24"/>
  <c r="D74" i="24"/>
  <c r="C74" i="24"/>
  <c r="B74" i="24"/>
  <c r="M73" i="24"/>
  <c r="J73" i="24"/>
  <c r="I73" i="24"/>
  <c r="H73" i="24"/>
  <c r="G73" i="24"/>
  <c r="F73" i="24"/>
  <c r="E73" i="24"/>
  <c r="D73" i="24"/>
  <c r="C73" i="24"/>
  <c r="B73" i="24"/>
  <c r="M72" i="24"/>
  <c r="I72" i="24"/>
  <c r="H72" i="24"/>
  <c r="G72" i="24"/>
  <c r="F72" i="24"/>
  <c r="E72" i="24"/>
  <c r="D72" i="24"/>
  <c r="C72" i="24"/>
  <c r="C97" i="24" s="1"/>
  <c r="B72" i="24"/>
  <c r="M71" i="24"/>
  <c r="I71" i="24"/>
  <c r="H71" i="24"/>
  <c r="H75" i="24" s="1"/>
  <c r="G71" i="24"/>
  <c r="F71" i="24"/>
  <c r="F75" i="24" s="1"/>
  <c r="D71" i="24"/>
  <c r="C71" i="24"/>
  <c r="B71" i="24"/>
  <c r="O68" i="24"/>
  <c r="P67" i="24"/>
  <c r="Q67" i="24" s="1"/>
  <c r="M67" i="24"/>
  <c r="N67" i="24" s="1"/>
  <c r="E67" i="24"/>
  <c r="F67" i="24" s="1"/>
  <c r="P66" i="24"/>
  <c r="Q66" i="24" s="1"/>
  <c r="M66" i="24"/>
  <c r="N66" i="24" s="1"/>
  <c r="E66" i="24"/>
  <c r="F66" i="24" s="1"/>
  <c r="P65" i="24"/>
  <c r="Q65" i="24" s="1"/>
  <c r="M65" i="24"/>
  <c r="N65" i="24" s="1"/>
  <c r="E65" i="24"/>
  <c r="F65" i="24" s="1"/>
  <c r="P64" i="24"/>
  <c r="Q64" i="24" s="1"/>
  <c r="M64" i="24"/>
  <c r="N64" i="24" s="1"/>
  <c r="E64" i="24"/>
  <c r="F64" i="24" s="1"/>
  <c r="P63" i="24"/>
  <c r="Q63" i="24" s="1"/>
  <c r="M63" i="24"/>
  <c r="N63" i="24" s="1"/>
  <c r="E63" i="24"/>
  <c r="F63" i="24" s="1"/>
  <c r="P62" i="24"/>
  <c r="Q62" i="24" s="1"/>
  <c r="M62" i="24"/>
  <c r="N62" i="24" s="1"/>
  <c r="E62" i="24"/>
  <c r="F62" i="24" s="1"/>
  <c r="P61" i="24"/>
  <c r="Q61" i="24" s="1"/>
  <c r="M61" i="24"/>
  <c r="N61" i="24" s="1"/>
  <c r="E61" i="24"/>
  <c r="F61" i="24" s="1"/>
  <c r="P60" i="24"/>
  <c r="Q60" i="24" s="1"/>
  <c r="M60" i="24"/>
  <c r="N60" i="24" s="1"/>
  <c r="E60" i="24"/>
  <c r="F60" i="24" s="1"/>
  <c r="P59" i="24"/>
  <c r="Q59" i="24" s="1"/>
  <c r="M59" i="24"/>
  <c r="N59" i="24" s="1"/>
  <c r="E59" i="24"/>
  <c r="F59" i="24" s="1"/>
  <c r="P58" i="24"/>
  <c r="Q58" i="24" s="1"/>
  <c r="M58" i="24"/>
  <c r="N58" i="24" s="1"/>
  <c r="E58" i="24"/>
  <c r="F58" i="24" s="1"/>
  <c r="P57" i="24"/>
  <c r="Q57" i="24" s="1"/>
  <c r="M57" i="24"/>
  <c r="N57" i="24" s="1"/>
  <c r="E57" i="24"/>
  <c r="F57" i="24" s="1"/>
  <c r="P56" i="24"/>
  <c r="Q56" i="24" s="1"/>
  <c r="M56" i="24"/>
  <c r="N56" i="24" s="1"/>
  <c r="E56" i="24"/>
  <c r="F56" i="24" s="1"/>
  <c r="P55" i="24"/>
  <c r="Q55" i="24" s="1"/>
  <c r="M55" i="24"/>
  <c r="N55" i="24" s="1"/>
  <c r="E55" i="24"/>
  <c r="F55" i="24" s="1"/>
  <c r="P54" i="24"/>
  <c r="Q54" i="24" s="1"/>
  <c r="M54" i="24"/>
  <c r="N54" i="24" s="1"/>
  <c r="E54" i="24"/>
  <c r="F54" i="24" s="1"/>
  <c r="P53" i="24"/>
  <c r="Q53" i="24" s="1"/>
  <c r="M53" i="24"/>
  <c r="N53" i="24" s="1"/>
  <c r="E53" i="24"/>
  <c r="F53" i="24" s="1"/>
  <c r="P52" i="24"/>
  <c r="Q52" i="24" s="1"/>
  <c r="M52" i="24"/>
  <c r="N52" i="24" s="1"/>
  <c r="E52" i="24"/>
  <c r="F52" i="24" s="1"/>
  <c r="P51" i="24"/>
  <c r="Q51" i="24" s="1"/>
  <c r="M51" i="24"/>
  <c r="N51" i="24" s="1"/>
  <c r="I51" i="24"/>
  <c r="E89" i="24" s="1"/>
  <c r="E51" i="24"/>
  <c r="F51" i="24" s="1"/>
  <c r="M50" i="24"/>
  <c r="L50" i="24"/>
  <c r="J88" i="24" s="1"/>
  <c r="I50" i="24"/>
  <c r="E88" i="24" s="1"/>
  <c r="F50" i="24"/>
  <c r="E50" i="24"/>
  <c r="Q49" i="24"/>
  <c r="P49" i="24"/>
  <c r="N49" i="24"/>
  <c r="M49" i="24"/>
  <c r="I49" i="24"/>
  <c r="E49" i="24" s="1"/>
  <c r="F49" i="24" s="1"/>
  <c r="P48" i="24"/>
  <c r="Q48" i="24" s="1"/>
  <c r="M48" i="24"/>
  <c r="N48" i="24" s="1"/>
  <c r="E48" i="24"/>
  <c r="F48" i="24" s="1"/>
  <c r="M47" i="24"/>
  <c r="L47" i="24"/>
  <c r="J84" i="24" s="1"/>
  <c r="I47" i="24"/>
  <c r="E84" i="24" s="1"/>
  <c r="M46" i="24"/>
  <c r="N46" i="24" s="1"/>
  <c r="L46" i="24"/>
  <c r="J83" i="24" s="1"/>
  <c r="I46" i="24"/>
  <c r="E83" i="24" s="1"/>
  <c r="P45" i="24"/>
  <c r="Q45" i="24" s="1"/>
  <c r="M45" i="24"/>
  <c r="N45" i="24" s="1"/>
  <c r="I45" i="24"/>
  <c r="E82" i="24" s="1"/>
  <c r="E45" i="24"/>
  <c r="F45" i="24" s="1"/>
  <c r="P44" i="24"/>
  <c r="Q44" i="24" s="1"/>
  <c r="M44" i="24"/>
  <c r="N44" i="24" s="1"/>
  <c r="E44" i="24"/>
  <c r="F44" i="24" s="1"/>
  <c r="P43" i="24"/>
  <c r="Q43" i="24" s="1"/>
  <c r="M43" i="24"/>
  <c r="N43" i="24" s="1"/>
  <c r="I43" i="24"/>
  <c r="E79" i="24" s="1"/>
  <c r="P42" i="24"/>
  <c r="Q42" i="24" s="1"/>
  <c r="M42" i="24"/>
  <c r="N42" i="24" s="1"/>
  <c r="E42" i="24"/>
  <c r="F42" i="24" s="1"/>
  <c r="M41" i="24"/>
  <c r="L41" i="24"/>
  <c r="J77" i="24" s="1"/>
  <c r="I41" i="24"/>
  <c r="E77" i="24" s="1"/>
  <c r="M40" i="24"/>
  <c r="L40" i="24"/>
  <c r="J76" i="24" s="1"/>
  <c r="I40" i="24"/>
  <c r="E76" i="24" s="1"/>
  <c r="E80" i="24" s="1"/>
  <c r="P39" i="24"/>
  <c r="Q39" i="24" s="1"/>
  <c r="M39" i="24"/>
  <c r="N39" i="24" s="1"/>
  <c r="E39" i="24"/>
  <c r="F39" i="24" s="1"/>
  <c r="P38" i="24"/>
  <c r="Q38" i="24" s="1"/>
  <c r="M38" i="24"/>
  <c r="N38" i="24" s="1"/>
  <c r="E38" i="24"/>
  <c r="F38" i="24" s="1"/>
  <c r="M37" i="24"/>
  <c r="L37" i="24"/>
  <c r="J72" i="24" s="1"/>
  <c r="E37" i="24"/>
  <c r="F37" i="24" s="1"/>
  <c r="M36" i="24"/>
  <c r="N36" i="24" s="1"/>
  <c r="L36" i="24"/>
  <c r="J71" i="24" s="1"/>
  <c r="I36" i="24"/>
  <c r="E71" i="24" s="1"/>
  <c r="E75" i="24" s="1"/>
  <c r="P35" i="24"/>
  <c r="Q35" i="24" s="1"/>
  <c r="M35" i="24"/>
  <c r="N35" i="24" s="1"/>
  <c r="E35" i="24"/>
  <c r="F35" i="24" s="1"/>
  <c r="P34" i="24"/>
  <c r="Q34" i="24" s="1"/>
  <c r="M34" i="24"/>
  <c r="N34" i="24" s="1"/>
  <c r="E34" i="24"/>
  <c r="F34" i="24" s="1"/>
  <c r="P33" i="24"/>
  <c r="Q33" i="24" s="1"/>
  <c r="M33" i="24"/>
  <c r="N33" i="24" s="1"/>
  <c r="E33" i="24"/>
  <c r="F33" i="24" s="1"/>
  <c r="P32" i="24"/>
  <c r="Q32" i="24" s="1"/>
  <c r="M32" i="24"/>
  <c r="N32" i="24" s="1"/>
  <c r="E32" i="24"/>
  <c r="F32" i="24" s="1"/>
  <c r="P31" i="24"/>
  <c r="Q31" i="24" s="1"/>
  <c r="M31" i="24"/>
  <c r="N31" i="24" s="1"/>
  <c r="E31" i="24"/>
  <c r="F31" i="24" s="1"/>
  <c r="P30" i="24"/>
  <c r="Q30" i="24" s="1"/>
  <c r="M30" i="24"/>
  <c r="N30" i="24" s="1"/>
  <c r="E30" i="24"/>
  <c r="F30" i="24" s="1"/>
  <c r="Q29" i="24"/>
  <c r="M29" i="24"/>
  <c r="N29" i="24" s="1"/>
  <c r="E29" i="24"/>
  <c r="F29" i="24" s="1"/>
  <c r="Q28" i="24"/>
  <c r="M28" i="24"/>
  <c r="N28" i="24" s="1"/>
  <c r="E28" i="24"/>
  <c r="F28" i="24" s="1"/>
  <c r="P27" i="24"/>
  <c r="Q27" i="24" s="1"/>
  <c r="M27" i="24"/>
  <c r="N27" i="24" s="1"/>
  <c r="E27" i="24"/>
  <c r="F27" i="24" s="1"/>
  <c r="P26" i="24"/>
  <c r="Q26" i="24" s="1"/>
  <c r="M26" i="24"/>
  <c r="N26" i="24" s="1"/>
  <c r="E26" i="24"/>
  <c r="F26" i="24" s="1"/>
  <c r="P25" i="24"/>
  <c r="Q25" i="24" s="1"/>
  <c r="M25" i="24"/>
  <c r="N25" i="24" s="1"/>
  <c r="E25" i="24"/>
  <c r="F25" i="24" s="1"/>
  <c r="P24" i="24"/>
  <c r="Q24" i="24" s="1"/>
  <c r="M24" i="24"/>
  <c r="N24" i="24" s="1"/>
  <c r="E24" i="24"/>
  <c r="F24" i="24" s="1"/>
  <c r="P23" i="24"/>
  <c r="Q23" i="24" s="1"/>
  <c r="M23" i="24"/>
  <c r="N23" i="24" s="1"/>
  <c r="E23" i="24"/>
  <c r="F23" i="24" s="1"/>
  <c r="P22" i="24"/>
  <c r="Q22" i="24" s="1"/>
  <c r="M22" i="24"/>
  <c r="N22" i="24" s="1"/>
  <c r="E22" i="24"/>
  <c r="F22" i="24" s="1"/>
  <c r="P21" i="24"/>
  <c r="Q21" i="24" s="1"/>
  <c r="M21" i="24"/>
  <c r="N21" i="24" s="1"/>
  <c r="E21" i="24"/>
  <c r="F21" i="24" s="1"/>
  <c r="P20" i="24"/>
  <c r="Q20" i="24" s="1"/>
  <c r="M20" i="24"/>
  <c r="N20" i="24" s="1"/>
  <c r="E20" i="24"/>
  <c r="F20" i="24" s="1"/>
  <c r="P19" i="24"/>
  <c r="Q19" i="24" s="1"/>
  <c r="M19" i="24"/>
  <c r="N19" i="24" s="1"/>
  <c r="E19" i="24"/>
  <c r="F19" i="24" s="1"/>
  <c r="P18" i="24"/>
  <c r="Q18" i="24" s="1"/>
  <c r="M18" i="24"/>
  <c r="N18" i="24" s="1"/>
  <c r="E18" i="24"/>
  <c r="F18" i="24" s="1"/>
  <c r="P17" i="24"/>
  <c r="Q17" i="24" s="1"/>
  <c r="M17" i="24"/>
  <c r="N17" i="24" s="1"/>
  <c r="E17" i="24"/>
  <c r="F17" i="24" s="1"/>
  <c r="P16" i="24"/>
  <c r="Q16" i="24" s="1"/>
  <c r="M16" i="24"/>
  <c r="N16" i="24" s="1"/>
  <c r="E16" i="24"/>
  <c r="F16" i="24" s="1"/>
  <c r="P15" i="24"/>
  <c r="Q15" i="24" s="1"/>
  <c r="M15" i="24"/>
  <c r="N15" i="24" s="1"/>
  <c r="E15" i="24"/>
  <c r="F15" i="24" s="1"/>
  <c r="P14" i="24"/>
  <c r="Q14" i="24" s="1"/>
  <c r="M14" i="24"/>
  <c r="N14" i="24" s="1"/>
  <c r="E14" i="24"/>
  <c r="F14" i="24" s="1"/>
  <c r="P13" i="24"/>
  <c r="Q13" i="24" s="1"/>
  <c r="M13" i="24"/>
  <c r="N13" i="24" s="1"/>
  <c r="E13" i="24"/>
  <c r="F13" i="24" s="1"/>
  <c r="P12" i="24"/>
  <c r="Q12" i="24" s="1"/>
  <c r="M12" i="24"/>
  <c r="N12" i="24" s="1"/>
  <c r="E12" i="24"/>
  <c r="F12" i="24" s="1"/>
  <c r="P11" i="24"/>
  <c r="Q11" i="24" s="1"/>
  <c r="M11" i="24"/>
  <c r="N11" i="24" s="1"/>
  <c r="E11" i="24"/>
  <c r="F11" i="24" s="1"/>
  <c r="P10" i="24"/>
  <c r="Q10" i="24" s="1"/>
  <c r="M10" i="24"/>
  <c r="N10" i="24" s="1"/>
  <c r="E10" i="24"/>
  <c r="F10" i="24" s="1"/>
  <c r="P9" i="24"/>
  <c r="Q9" i="24" s="1"/>
  <c r="M9" i="24"/>
  <c r="N9" i="24" s="1"/>
  <c r="E9" i="24"/>
  <c r="F9" i="24" s="1"/>
  <c r="P8" i="24"/>
  <c r="Q8" i="24" s="1"/>
  <c r="M8" i="24"/>
  <c r="N8" i="24" s="1"/>
  <c r="E8" i="24"/>
  <c r="F8" i="24" s="1"/>
  <c r="P7" i="24"/>
  <c r="Q7" i="24" s="1"/>
  <c r="M7" i="24"/>
  <c r="N7" i="24" s="1"/>
  <c r="E7" i="24"/>
  <c r="F7" i="24" s="1"/>
  <c r="P6" i="24"/>
  <c r="Q6" i="24" s="1"/>
  <c r="M6" i="24"/>
  <c r="N6" i="24" s="1"/>
  <c r="E6" i="24"/>
  <c r="F6" i="24" s="1"/>
  <c r="P5" i="24"/>
  <c r="Q5" i="24" s="1"/>
  <c r="M5" i="24"/>
  <c r="N5" i="24" s="1"/>
  <c r="E5" i="24"/>
  <c r="F5" i="24" s="1"/>
  <c r="P4" i="24"/>
  <c r="Q4" i="24" s="1"/>
  <c r="M4" i="24"/>
  <c r="N4" i="24" s="1"/>
  <c r="E4" i="24"/>
  <c r="F4" i="24" s="1"/>
  <c r="P3" i="24"/>
  <c r="Q3" i="24" s="1"/>
  <c r="M3" i="24"/>
  <c r="N3" i="24" s="1"/>
  <c r="E3" i="24"/>
  <c r="F3" i="24" s="1"/>
  <c r="P2" i="24"/>
  <c r="Q2" i="24" s="1"/>
  <c r="M2" i="24"/>
  <c r="N2" i="24" s="1"/>
  <c r="E2" i="24"/>
  <c r="F2" i="24" s="1"/>
  <c r="J80" i="24" l="1"/>
  <c r="E43" i="24"/>
  <c r="F43" i="24" s="1"/>
  <c r="E47" i="24"/>
  <c r="F47" i="24" s="1"/>
  <c r="D75" i="24"/>
  <c r="F80" i="24"/>
  <c r="H80" i="24"/>
  <c r="K78" i="24"/>
  <c r="L78" i="24" s="1"/>
  <c r="I80" i="24"/>
  <c r="L79" i="24"/>
  <c r="H85" i="24"/>
  <c r="C90" i="24"/>
  <c r="G90" i="24"/>
  <c r="E36" i="24"/>
  <c r="F36" i="24" s="1"/>
  <c r="P37" i="24"/>
  <c r="Q37" i="24" s="1"/>
  <c r="P40" i="24"/>
  <c r="Q40" i="24" s="1"/>
  <c r="P41" i="24"/>
  <c r="Q41" i="24" s="1"/>
  <c r="P47" i="24"/>
  <c r="Q47" i="24" s="1"/>
  <c r="D91" i="24"/>
  <c r="N37" i="24"/>
  <c r="N40" i="24"/>
  <c r="N41" i="24"/>
  <c r="E46" i="24"/>
  <c r="F46" i="24" s="1"/>
  <c r="P46" i="24"/>
  <c r="Q46" i="24" s="1"/>
  <c r="N47" i="24"/>
  <c r="C75" i="24"/>
  <c r="G75" i="24"/>
  <c r="G91" i="24" s="1"/>
  <c r="I75" i="24"/>
  <c r="K73" i="24"/>
  <c r="K74" i="24"/>
  <c r="L74" i="24" s="1"/>
  <c r="G80" i="24"/>
  <c r="F85" i="24"/>
  <c r="K83" i="24"/>
  <c r="L83" i="24" s="1"/>
  <c r="K86" i="24"/>
  <c r="L86" i="24" s="1"/>
  <c r="I90" i="24"/>
  <c r="L87" i="24"/>
  <c r="J75" i="24"/>
  <c r="K75" i="24" s="1"/>
  <c r="J96" i="24"/>
  <c r="J93" i="24"/>
  <c r="J94" i="24"/>
  <c r="K80" i="24"/>
  <c r="K77" i="24"/>
  <c r="L77" i="24" s="1"/>
  <c r="J90" i="24"/>
  <c r="K90" i="24" s="1"/>
  <c r="K88" i="24"/>
  <c r="L88" i="24" s="1"/>
  <c r="L73" i="24"/>
  <c r="J85" i="24"/>
  <c r="K84" i="24"/>
  <c r="L84" i="24" s="1"/>
  <c r="J97" i="24"/>
  <c r="H91" i="24"/>
  <c r="F91" i="24"/>
  <c r="E85" i="24"/>
  <c r="P50" i="24"/>
  <c r="Q50" i="24" s="1"/>
  <c r="K76" i="24"/>
  <c r="L76" i="24" s="1"/>
  <c r="C85" i="24"/>
  <c r="K85" i="24" s="1"/>
  <c r="E87" i="24"/>
  <c r="E90" i="24" s="1"/>
  <c r="C94" i="24"/>
  <c r="E40" i="24"/>
  <c r="F40" i="24" s="1"/>
  <c r="E41" i="24"/>
  <c r="F41" i="24" s="1"/>
  <c r="N50" i="24"/>
  <c r="K71" i="24"/>
  <c r="K72" i="24"/>
  <c r="C93" i="24"/>
  <c r="C96" i="24"/>
  <c r="P36" i="24"/>
  <c r="Q36" i="24" s="1"/>
  <c r="I91" i="24" l="1"/>
  <c r="E91" i="24"/>
  <c r="K96" i="24"/>
  <c r="L95" i="24"/>
  <c r="K93" i="24"/>
  <c r="M95" i="24"/>
  <c r="L93" i="24"/>
  <c r="M93" i="24"/>
  <c r="L71" i="24"/>
  <c r="K94" i="24"/>
  <c r="J91" i="24"/>
  <c r="K97" i="24"/>
  <c r="L72" i="24"/>
  <c r="L94" i="24"/>
  <c r="M94" i="24"/>
  <c r="C91" i="24"/>
  <c r="K91" i="24" l="1"/>
  <c r="E20" i="18" l="1"/>
  <c r="D20" i="18"/>
  <c r="C20" i="18"/>
  <c r="B20" i="18"/>
  <c r="F20" i="18" s="1"/>
  <c r="E19" i="18"/>
  <c r="D19" i="18"/>
  <c r="C19" i="18"/>
  <c r="F19" i="18" s="1"/>
  <c r="E18" i="18"/>
  <c r="E21" i="18" s="1"/>
  <c r="D18" i="18"/>
  <c r="D21" i="18" s="1"/>
  <c r="C18" i="18"/>
  <c r="F18" i="18" s="1"/>
  <c r="G12" i="18"/>
  <c r="G10" i="18"/>
  <c r="B10" i="18"/>
  <c r="G9" i="18"/>
  <c r="G11" i="18" s="1"/>
  <c r="B9" i="18"/>
  <c r="C5" i="18"/>
  <c r="C4" i="18"/>
  <c r="B3" i="18"/>
  <c r="B2" i="18"/>
  <c r="E20" i="22"/>
  <c r="D20" i="22"/>
  <c r="C20" i="22"/>
  <c r="B20" i="22"/>
  <c r="E19" i="22"/>
  <c r="D19" i="22"/>
  <c r="C19" i="22"/>
  <c r="F19" i="22" s="1"/>
  <c r="E18" i="22"/>
  <c r="D18" i="22"/>
  <c r="D21" i="22" s="1"/>
  <c r="C18" i="22"/>
  <c r="G12" i="22"/>
  <c r="G10" i="22"/>
  <c r="B10" i="22"/>
  <c r="G9" i="22"/>
  <c r="G11" i="22" s="1"/>
  <c r="B9" i="22"/>
  <c r="C5" i="22"/>
  <c r="C4" i="22"/>
  <c r="B3" i="22"/>
  <c r="B2" i="22"/>
  <c r="E20" i="23"/>
  <c r="D20" i="23"/>
  <c r="C20" i="23"/>
  <c r="B20" i="23"/>
  <c r="B21" i="23" s="1"/>
  <c r="E19" i="23"/>
  <c r="D19" i="23"/>
  <c r="C19" i="23"/>
  <c r="E18" i="23"/>
  <c r="E21" i="23" s="1"/>
  <c r="D18" i="23"/>
  <c r="C18" i="23"/>
  <c r="F18" i="23" s="1"/>
  <c r="G12" i="23"/>
  <c r="G11" i="23"/>
  <c r="G10" i="23"/>
  <c r="B10" i="23"/>
  <c r="G9" i="23"/>
  <c r="B9" i="23"/>
  <c r="C5" i="23"/>
  <c r="C4" i="23"/>
  <c r="B3" i="23"/>
  <c r="B2" i="23"/>
  <c r="E20" i="19"/>
  <c r="D20" i="19"/>
  <c r="C20" i="19"/>
  <c r="B20" i="19"/>
  <c r="E19" i="19"/>
  <c r="D19" i="19"/>
  <c r="C19" i="19"/>
  <c r="E18" i="19"/>
  <c r="D18" i="19"/>
  <c r="D21" i="19" s="1"/>
  <c r="C18" i="19"/>
  <c r="G12" i="19"/>
  <c r="G10" i="19"/>
  <c r="B10" i="19"/>
  <c r="G9" i="19"/>
  <c r="G11" i="19" s="1"/>
  <c r="B9" i="19"/>
  <c r="C5" i="19"/>
  <c r="C4" i="19"/>
  <c r="B3" i="19"/>
  <c r="B2" i="19"/>
  <c r="E20" i="20"/>
  <c r="D20" i="20"/>
  <c r="C20" i="20"/>
  <c r="B20" i="20"/>
  <c r="B21" i="20" s="1"/>
  <c r="E19" i="20"/>
  <c r="D19" i="20"/>
  <c r="C19" i="20"/>
  <c r="F19" i="20" s="1"/>
  <c r="E18" i="20"/>
  <c r="D18" i="20"/>
  <c r="D21" i="20" s="1"/>
  <c r="C18" i="20"/>
  <c r="G12" i="20"/>
  <c r="G10" i="20"/>
  <c r="B10" i="20"/>
  <c r="G9" i="20"/>
  <c r="G11" i="20" s="1"/>
  <c r="B9" i="20"/>
  <c r="C5" i="20"/>
  <c r="C4" i="20"/>
  <c r="B3" i="20"/>
  <c r="B2" i="20"/>
  <c r="E20" i="21"/>
  <c r="D20" i="21"/>
  <c r="C20" i="21"/>
  <c r="B20" i="21"/>
  <c r="E19" i="21"/>
  <c r="D19" i="21"/>
  <c r="F19" i="21" s="1"/>
  <c r="C19" i="21"/>
  <c r="E18" i="21"/>
  <c r="D18" i="21"/>
  <c r="C18" i="21"/>
  <c r="F18" i="21" s="1"/>
  <c r="G12" i="21"/>
  <c r="G10" i="21"/>
  <c r="B10" i="21"/>
  <c r="G9" i="21"/>
  <c r="G11" i="21" s="1"/>
  <c r="B9" i="21"/>
  <c r="C5" i="21"/>
  <c r="C4" i="21"/>
  <c r="B3" i="21"/>
  <c r="B2" i="21"/>
  <c r="E20" i="16"/>
  <c r="D20" i="16"/>
  <c r="C20" i="16"/>
  <c r="B20" i="16"/>
  <c r="B21" i="16" s="1"/>
  <c r="E19" i="16"/>
  <c r="D19" i="16"/>
  <c r="C19" i="16"/>
  <c r="F19" i="16" s="1"/>
  <c r="E18" i="16"/>
  <c r="D18" i="16"/>
  <c r="D21" i="16" s="1"/>
  <c r="C18" i="16"/>
  <c r="G12" i="16"/>
  <c r="G10" i="16"/>
  <c r="B10" i="16"/>
  <c r="G9" i="16"/>
  <c r="G11" i="16" s="1"/>
  <c r="B9" i="16"/>
  <c r="C5" i="16"/>
  <c r="C4" i="16"/>
  <c r="B3" i="16"/>
  <c r="B2" i="16"/>
  <c r="E20" i="17"/>
  <c r="D20" i="17"/>
  <c r="C20" i="17"/>
  <c r="B20" i="17"/>
  <c r="B21" i="17" s="1"/>
  <c r="E19" i="17"/>
  <c r="D19" i="17"/>
  <c r="C19" i="17"/>
  <c r="E18" i="17"/>
  <c r="E21" i="17" s="1"/>
  <c r="D18" i="17"/>
  <c r="C18" i="17"/>
  <c r="F18" i="17" s="1"/>
  <c r="G12" i="17"/>
  <c r="G10" i="17"/>
  <c r="B10" i="17"/>
  <c r="G9" i="17"/>
  <c r="B9" i="17"/>
  <c r="C5" i="17"/>
  <c r="C4" i="17"/>
  <c r="B3" i="17"/>
  <c r="B2" i="17"/>
  <c r="D21" i="23" l="1"/>
  <c r="E21" i="22"/>
  <c r="F19" i="19"/>
  <c r="E21" i="19"/>
  <c r="D21" i="17"/>
  <c r="F19" i="17"/>
  <c r="F18" i="16"/>
  <c r="E21" i="16"/>
  <c r="D21" i="21"/>
  <c r="E21" i="21"/>
  <c r="F20" i="21"/>
  <c r="B21" i="21"/>
  <c r="F18" i="20"/>
  <c r="E21" i="20"/>
  <c r="G11" i="17"/>
  <c r="F18" i="19"/>
  <c r="F20" i="19"/>
  <c r="B21" i="19"/>
  <c r="F18" i="22"/>
  <c r="F20" i="22"/>
  <c r="B21" i="22"/>
  <c r="B21" i="18"/>
  <c r="C21" i="18"/>
  <c r="C21" i="22"/>
  <c r="C21" i="23"/>
  <c r="F21" i="23" s="1"/>
  <c r="F20" i="23"/>
  <c r="F19" i="23"/>
  <c r="C21" i="19"/>
  <c r="F21" i="19" s="1"/>
  <c r="F20" i="20"/>
  <c r="C21" i="20"/>
  <c r="C21" i="21"/>
  <c r="F21" i="21" s="1"/>
  <c r="F20" i="16"/>
  <c r="C21" i="16"/>
  <c r="F21" i="16" s="1"/>
  <c r="F20" i="17"/>
  <c r="C21" i="17"/>
  <c r="F21" i="17" s="1"/>
  <c r="J63" i="8"/>
  <c r="H63" i="8" s="1"/>
  <c r="E63" i="8"/>
  <c r="D63" i="8"/>
  <c r="C63" i="8"/>
  <c r="B63" i="8"/>
  <c r="E62" i="8"/>
  <c r="D62" i="8"/>
  <c r="C62" i="8"/>
  <c r="E61" i="8"/>
  <c r="D61" i="8"/>
  <c r="C61" i="8"/>
  <c r="E60" i="8"/>
  <c r="D60" i="8"/>
  <c r="C60" i="8"/>
  <c r="F60" i="8" s="1"/>
  <c r="E59" i="8"/>
  <c r="D59" i="8"/>
  <c r="C59" i="8"/>
  <c r="E58" i="8"/>
  <c r="D58" i="8"/>
  <c r="C58" i="8"/>
  <c r="F58" i="8" s="1"/>
  <c r="E57" i="8"/>
  <c r="D57" i="8"/>
  <c r="C57" i="8"/>
  <c r="E56" i="8"/>
  <c r="D56" i="8"/>
  <c r="C56" i="8"/>
  <c r="F56" i="8" s="1"/>
  <c r="E55" i="8"/>
  <c r="D55" i="8"/>
  <c r="C55" i="8"/>
  <c r="E54" i="8"/>
  <c r="D54" i="8"/>
  <c r="C54" i="8"/>
  <c r="J53" i="8"/>
  <c r="E53" i="8"/>
  <c r="D53" i="8"/>
  <c r="C53" i="8"/>
  <c r="F53" i="8" s="1"/>
  <c r="J52" i="8"/>
  <c r="H52" i="8"/>
  <c r="E52" i="8"/>
  <c r="D52" i="8"/>
  <c r="C52" i="8"/>
  <c r="E51" i="8"/>
  <c r="D51" i="8"/>
  <c r="C51" i="8"/>
  <c r="E50" i="8"/>
  <c r="D50" i="8"/>
  <c r="C50" i="8"/>
  <c r="E49" i="8"/>
  <c r="D49" i="8"/>
  <c r="C49" i="8"/>
  <c r="E48" i="8"/>
  <c r="D48" i="8"/>
  <c r="C48" i="8"/>
  <c r="E47" i="8"/>
  <c r="D47" i="8"/>
  <c r="C47" i="8"/>
  <c r="J46" i="8"/>
  <c r="E46" i="8"/>
  <c r="D46" i="8"/>
  <c r="C46" i="8"/>
  <c r="E45" i="8"/>
  <c r="D45" i="8"/>
  <c r="C45" i="8"/>
  <c r="J44" i="8"/>
  <c r="E44" i="8"/>
  <c r="D44" i="8"/>
  <c r="C44" i="8"/>
  <c r="J43" i="8"/>
  <c r="H43" i="8" s="1"/>
  <c r="E43" i="8"/>
  <c r="D43" i="8"/>
  <c r="C43" i="8"/>
  <c r="H42" i="8"/>
  <c r="E42" i="8"/>
  <c r="D42" i="8"/>
  <c r="F42" i="8" s="1"/>
  <c r="C42" i="8"/>
  <c r="H41" i="8"/>
  <c r="E41" i="8"/>
  <c r="D41" i="8"/>
  <c r="C41" i="8"/>
  <c r="H40" i="8"/>
  <c r="E40" i="8"/>
  <c r="D40" i="8"/>
  <c r="C40" i="8"/>
  <c r="H39" i="8"/>
  <c r="E39" i="8"/>
  <c r="D39" i="8"/>
  <c r="C39" i="8"/>
  <c r="J38" i="8"/>
  <c r="H38" i="8"/>
  <c r="E38" i="8"/>
  <c r="D38" i="8"/>
  <c r="C38" i="8"/>
  <c r="H37" i="8"/>
  <c r="E37" i="8"/>
  <c r="D37" i="8"/>
  <c r="C37" i="8"/>
  <c r="F37" i="8" s="1"/>
  <c r="J36" i="8"/>
  <c r="H36" i="8"/>
  <c r="E36" i="8"/>
  <c r="D36" i="8"/>
  <c r="C36" i="8"/>
  <c r="J35" i="8"/>
  <c r="H35" i="8"/>
  <c r="E35" i="8"/>
  <c r="D35" i="8"/>
  <c r="C35" i="8"/>
  <c r="F35" i="8" s="1"/>
  <c r="E34" i="8"/>
  <c r="D34" i="8"/>
  <c r="C34" i="8"/>
  <c r="E33" i="8"/>
  <c r="D33" i="8"/>
  <c r="C33" i="8"/>
  <c r="F33" i="8" s="1"/>
  <c r="E32" i="8"/>
  <c r="D32" i="8"/>
  <c r="C32" i="8"/>
  <c r="J31" i="8"/>
  <c r="E31" i="8"/>
  <c r="D31" i="8"/>
  <c r="C31" i="8"/>
  <c r="H30" i="8"/>
  <c r="E30" i="8"/>
  <c r="D30" i="8"/>
  <c r="F30" i="8" s="1"/>
  <c r="C30" i="8"/>
  <c r="H29" i="8"/>
  <c r="E29" i="8"/>
  <c r="D29" i="8"/>
  <c r="C29" i="8"/>
  <c r="J28" i="8"/>
  <c r="H28" i="8"/>
  <c r="E28" i="8"/>
  <c r="D28" i="8"/>
  <c r="C28" i="8"/>
  <c r="F28" i="8" s="1"/>
  <c r="H27" i="8"/>
  <c r="E27" i="8"/>
  <c r="D27" i="8"/>
  <c r="C27" i="8"/>
  <c r="H26" i="8"/>
  <c r="E26" i="8"/>
  <c r="D26" i="8"/>
  <c r="C26" i="8"/>
  <c r="H25" i="8"/>
  <c r="E25" i="8"/>
  <c r="D25" i="8"/>
  <c r="C25" i="8"/>
  <c r="F25" i="8" s="1"/>
  <c r="H24" i="8"/>
  <c r="E24" i="8"/>
  <c r="D24" i="8"/>
  <c r="C24" i="8"/>
  <c r="F24" i="8" s="1"/>
  <c r="J23" i="8"/>
  <c r="H23" i="8"/>
  <c r="E23" i="8"/>
  <c r="D23" i="8"/>
  <c r="C23" i="8"/>
  <c r="E22" i="8"/>
  <c r="D22" i="8"/>
  <c r="C22" i="8"/>
  <c r="E21" i="8"/>
  <c r="D21" i="8"/>
  <c r="C21" i="8"/>
  <c r="E20" i="8"/>
  <c r="D20" i="8"/>
  <c r="C20" i="8"/>
  <c r="F20" i="8" s="1"/>
  <c r="E19" i="8"/>
  <c r="D19" i="8"/>
  <c r="C19" i="8"/>
  <c r="J18" i="8"/>
  <c r="J64" i="8" s="1"/>
  <c r="E18" i="8"/>
  <c r="D18" i="8"/>
  <c r="D64" i="8" s="1"/>
  <c r="C18" i="8"/>
  <c r="G12" i="8"/>
  <c r="G10" i="8"/>
  <c r="B10" i="8"/>
  <c r="G9" i="8"/>
  <c r="G11" i="8" s="1"/>
  <c r="B9" i="8"/>
  <c r="C5" i="8"/>
  <c r="C4" i="8"/>
  <c r="B3" i="8"/>
  <c r="B2" i="8"/>
  <c r="J63" i="7"/>
  <c r="H63" i="7" s="1"/>
  <c r="E63" i="7"/>
  <c r="D63" i="7"/>
  <c r="C63" i="7"/>
  <c r="B63" i="7"/>
  <c r="E62" i="7"/>
  <c r="D62" i="7"/>
  <c r="C62" i="7"/>
  <c r="E61" i="7"/>
  <c r="D61" i="7"/>
  <c r="C61" i="7"/>
  <c r="E60" i="7"/>
  <c r="D60" i="7"/>
  <c r="C60" i="7"/>
  <c r="F60" i="7" s="1"/>
  <c r="E59" i="7"/>
  <c r="D59" i="7"/>
  <c r="C59" i="7"/>
  <c r="E58" i="7"/>
  <c r="D58" i="7"/>
  <c r="C58" i="7"/>
  <c r="F58" i="7" s="1"/>
  <c r="E57" i="7"/>
  <c r="D57" i="7"/>
  <c r="C57" i="7"/>
  <c r="E56" i="7"/>
  <c r="D56" i="7"/>
  <c r="C56" i="7"/>
  <c r="E55" i="7"/>
  <c r="D55" i="7"/>
  <c r="C55" i="7"/>
  <c r="E54" i="7"/>
  <c r="D54" i="7"/>
  <c r="C54" i="7"/>
  <c r="J53" i="7"/>
  <c r="E53" i="7"/>
  <c r="D53" i="7"/>
  <c r="C53" i="7"/>
  <c r="J52" i="7"/>
  <c r="H52" i="7" s="1"/>
  <c r="E52" i="7"/>
  <c r="D52" i="7"/>
  <c r="C52" i="7"/>
  <c r="F52" i="7" s="1"/>
  <c r="E51" i="7"/>
  <c r="D51" i="7"/>
  <c r="C51" i="7"/>
  <c r="E50" i="7"/>
  <c r="D50" i="7"/>
  <c r="C50" i="7"/>
  <c r="F50" i="7" s="1"/>
  <c r="E49" i="7"/>
  <c r="D49" i="7"/>
  <c r="C49" i="7"/>
  <c r="E48" i="7"/>
  <c r="D48" i="7"/>
  <c r="C48" i="7"/>
  <c r="F48" i="7" s="1"/>
  <c r="E47" i="7"/>
  <c r="D47" i="7"/>
  <c r="C47" i="7"/>
  <c r="J46" i="7"/>
  <c r="E46" i="7"/>
  <c r="D46" i="7"/>
  <c r="C46" i="7"/>
  <c r="E45" i="7"/>
  <c r="D45" i="7"/>
  <c r="C45" i="7"/>
  <c r="F45" i="7" s="1"/>
  <c r="J44" i="7"/>
  <c r="E44" i="7"/>
  <c r="D44" i="7"/>
  <c r="C44" i="7"/>
  <c r="F44" i="7" s="1"/>
  <c r="J43" i="7"/>
  <c r="H43" i="7"/>
  <c r="E43" i="7"/>
  <c r="D43" i="7"/>
  <c r="C43" i="7"/>
  <c r="H42" i="7"/>
  <c r="E42" i="7"/>
  <c r="D42" i="7"/>
  <c r="C42" i="7"/>
  <c r="H41" i="7"/>
  <c r="E41" i="7"/>
  <c r="D41" i="7"/>
  <c r="C41" i="7"/>
  <c r="H40" i="7"/>
  <c r="E40" i="7"/>
  <c r="D40" i="7"/>
  <c r="C40" i="7"/>
  <c r="H39" i="7"/>
  <c r="E39" i="7"/>
  <c r="D39" i="7"/>
  <c r="C39" i="7"/>
  <c r="J38" i="7"/>
  <c r="H38" i="7"/>
  <c r="E38" i="7"/>
  <c r="D38" i="7"/>
  <c r="C38" i="7"/>
  <c r="H37" i="7"/>
  <c r="E37" i="7"/>
  <c r="D37" i="7"/>
  <c r="C37" i="7"/>
  <c r="F37" i="7" s="1"/>
  <c r="J36" i="7"/>
  <c r="H36" i="7"/>
  <c r="E36" i="7"/>
  <c r="D36" i="7"/>
  <c r="F36" i="7" s="1"/>
  <c r="C36" i="7"/>
  <c r="J35" i="7"/>
  <c r="H35" i="7"/>
  <c r="E35" i="7"/>
  <c r="D35" i="7"/>
  <c r="C35" i="7"/>
  <c r="E34" i="7"/>
  <c r="D34" i="7"/>
  <c r="C34" i="7"/>
  <c r="E33" i="7"/>
  <c r="D33" i="7"/>
  <c r="C33" i="7"/>
  <c r="F33" i="7" s="1"/>
  <c r="E32" i="7"/>
  <c r="D32" i="7"/>
  <c r="C32" i="7"/>
  <c r="J31" i="7"/>
  <c r="E31" i="7"/>
  <c r="D31" i="7"/>
  <c r="C31" i="7"/>
  <c r="H30" i="7"/>
  <c r="E30" i="7"/>
  <c r="D30" i="7"/>
  <c r="C30" i="7"/>
  <c r="H29" i="7"/>
  <c r="E29" i="7"/>
  <c r="D29" i="7"/>
  <c r="C29" i="7"/>
  <c r="J28" i="7"/>
  <c r="H28" i="7"/>
  <c r="E28" i="7"/>
  <c r="D28" i="7"/>
  <c r="C28" i="7"/>
  <c r="H27" i="7"/>
  <c r="E27" i="7"/>
  <c r="D27" i="7"/>
  <c r="C27" i="7"/>
  <c r="F27" i="7" s="1"/>
  <c r="H26" i="7"/>
  <c r="E26" i="7"/>
  <c r="D26" i="7"/>
  <c r="C26" i="7"/>
  <c r="F26" i="7" s="1"/>
  <c r="H25" i="7"/>
  <c r="E25" i="7"/>
  <c r="D25" i="7"/>
  <c r="C25" i="7"/>
  <c r="H24" i="7"/>
  <c r="E24" i="7"/>
  <c r="D24" i="7"/>
  <c r="C24" i="7"/>
  <c r="J23" i="7"/>
  <c r="H23" i="7"/>
  <c r="E23" i="7"/>
  <c r="D23" i="7"/>
  <c r="C23" i="7"/>
  <c r="E22" i="7"/>
  <c r="D22" i="7"/>
  <c r="C22" i="7"/>
  <c r="F22" i="7" s="1"/>
  <c r="E21" i="7"/>
  <c r="D21" i="7"/>
  <c r="C21" i="7"/>
  <c r="E20" i="7"/>
  <c r="D20" i="7"/>
  <c r="C20" i="7"/>
  <c r="E19" i="7"/>
  <c r="D19" i="7"/>
  <c r="C19" i="7"/>
  <c r="J18" i="7"/>
  <c r="J64" i="7" s="1"/>
  <c r="E18" i="7"/>
  <c r="D18" i="7"/>
  <c r="D64" i="7" s="1"/>
  <c r="C18" i="7"/>
  <c r="G12" i="7"/>
  <c r="G10" i="7"/>
  <c r="B10" i="7"/>
  <c r="G9" i="7"/>
  <c r="G11" i="7" s="1"/>
  <c r="B9" i="7"/>
  <c r="C5" i="7"/>
  <c r="C4" i="7"/>
  <c r="B3" i="7"/>
  <c r="B2" i="7"/>
  <c r="J63" i="5"/>
  <c r="H63" i="5" s="1"/>
  <c r="E63" i="5"/>
  <c r="D63" i="5"/>
  <c r="C63" i="5"/>
  <c r="B63" i="5"/>
  <c r="E62" i="5"/>
  <c r="D62" i="5"/>
  <c r="C62" i="5"/>
  <c r="E61" i="5"/>
  <c r="D61" i="5"/>
  <c r="C61" i="5"/>
  <c r="E60" i="5"/>
  <c r="D60" i="5"/>
  <c r="C60" i="5"/>
  <c r="F60" i="5" s="1"/>
  <c r="E59" i="5"/>
  <c r="D59" i="5"/>
  <c r="C59" i="5"/>
  <c r="E58" i="5"/>
  <c r="D58" i="5"/>
  <c r="C58" i="5"/>
  <c r="E57" i="5"/>
  <c r="D57" i="5"/>
  <c r="C57" i="5"/>
  <c r="E56" i="5"/>
  <c r="D56" i="5"/>
  <c r="C56" i="5"/>
  <c r="E55" i="5"/>
  <c r="D55" i="5"/>
  <c r="C55" i="5"/>
  <c r="E54" i="5"/>
  <c r="D54" i="5"/>
  <c r="C54" i="5"/>
  <c r="J53" i="5"/>
  <c r="E53" i="5"/>
  <c r="D53" i="5"/>
  <c r="C53" i="5"/>
  <c r="J52" i="5"/>
  <c r="H52" i="5" s="1"/>
  <c r="E52" i="5"/>
  <c r="D52" i="5"/>
  <c r="C52" i="5"/>
  <c r="F52" i="5" s="1"/>
  <c r="E51" i="5"/>
  <c r="D51" i="5"/>
  <c r="C51" i="5"/>
  <c r="E50" i="5"/>
  <c r="D50" i="5"/>
  <c r="C50" i="5"/>
  <c r="F50" i="5" s="1"/>
  <c r="E49" i="5"/>
  <c r="D49" i="5"/>
  <c r="C49" i="5"/>
  <c r="E48" i="5"/>
  <c r="D48" i="5"/>
  <c r="C48" i="5"/>
  <c r="F48" i="5" s="1"/>
  <c r="E47" i="5"/>
  <c r="D47" i="5"/>
  <c r="C47" i="5"/>
  <c r="J46" i="5"/>
  <c r="E46" i="5"/>
  <c r="D46" i="5"/>
  <c r="C46" i="5"/>
  <c r="E45" i="5"/>
  <c r="D45" i="5"/>
  <c r="C45" i="5"/>
  <c r="F45" i="5" s="1"/>
  <c r="J44" i="5"/>
  <c r="E44" i="5"/>
  <c r="D44" i="5"/>
  <c r="C44" i="5"/>
  <c r="F44" i="5" s="1"/>
  <c r="J43" i="5"/>
  <c r="H43" i="5"/>
  <c r="E43" i="5"/>
  <c r="D43" i="5"/>
  <c r="C43" i="5"/>
  <c r="H42" i="5"/>
  <c r="E42" i="5"/>
  <c r="D42" i="5"/>
  <c r="C42" i="5"/>
  <c r="H41" i="5"/>
  <c r="E41" i="5"/>
  <c r="D41" i="5"/>
  <c r="C41" i="5"/>
  <c r="H40" i="5"/>
  <c r="E40" i="5"/>
  <c r="D40" i="5"/>
  <c r="C40" i="5"/>
  <c r="H39" i="5"/>
  <c r="E39" i="5"/>
  <c r="D39" i="5"/>
  <c r="C39" i="5"/>
  <c r="J38" i="5"/>
  <c r="H38" i="5"/>
  <c r="E38" i="5"/>
  <c r="D38" i="5"/>
  <c r="C38" i="5"/>
  <c r="H37" i="5"/>
  <c r="E37" i="5"/>
  <c r="D37" i="5"/>
  <c r="C37" i="5"/>
  <c r="F37" i="5" s="1"/>
  <c r="J36" i="5"/>
  <c r="H36" i="5"/>
  <c r="E36" i="5"/>
  <c r="D36" i="5"/>
  <c r="C36" i="5"/>
  <c r="J35" i="5"/>
  <c r="H35" i="5"/>
  <c r="E35" i="5"/>
  <c r="D35" i="5"/>
  <c r="C35" i="5"/>
  <c r="F35" i="5" s="1"/>
  <c r="E34" i="5"/>
  <c r="D34" i="5"/>
  <c r="C34" i="5"/>
  <c r="E33" i="5"/>
  <c r="D33" i="5"/>
  <c r="C33" i="5"/>
  <c r="F33" i="5" s="1"/>
  <c r="E32" i="5"/>
  <c r="D32" i="5"/>
  <c r="C32" i="5"/>
  <c r="J31" i="5"/>
  <c r="E31" i="5"/>
  <c r="D31" i="5"/>
  <c r="C31" i="5"/>
  <c r="H30" i="5"/>
  <c r="E30" i="5"/>
  <c r="D30" i="5"/>
  <c r="F30" i="5" s="1"/>
  <c r="C30" i="5"/>
  <c r="H29" i="5"/>
  <c r="E29" i="5"/>
  <c r="D29" i="5"/>
  <c r="C29" i="5"/>
  <c r="J28" i="5"/>
  <c r="H28" i="5"/>
  <c r="E28" i="5"/>
  <c r="D28" i="5"/>
  <c r="C28" i="5"/>
  <c r="F28" i="5" s="1"/>
  <c r="H27" i="5"/>
  <c r="E27" i="5"/>
  <c r="D27" i="5"/>
  <c r="C27" i="5"/>
  <c r="H26" i="5"/>
  <c r="E26" i="5"/>
  <c r="D26" i="5"/>
  <c r="C26" i="5"/>
  <c r="H25" i="5"/>
  <c r="E25" i="5"/>
  <c r="D25" i="5"/>
  <c r="C25" i="5"/>
  <c r="F25" i="5" s="1"/>
  <c r="H24" i="5"/>
  <c r="E24" i="5"/>
  <c r="D24" i="5"/>
  <c r="C24" i="5"/>
  <c r="F24" i="5" s="1"/>
  <c r="J23" i="5"/>
  <c r="H23" i="5"/>
  <c r="E23" i="5"/>
  <c r="D23" i="5"/>
  <c r="C23" i="5"/>
  <c r="E22" i="5"/>
  <c r="D22" i="5"/>
  <c r="C22" i="5"/>
  <c r="E21" i="5"/>
  <c r="D21" i="5"/>
  <c r="C21" i="5"/>
  <c r="E20" i="5"/>
  <c r="D20" i="5"/>
  <c r="C20" i="5"/>
  <c r="F20" i="5" s="1"/>
  <c r="E19" i="5"/>
  <c r="D19" i="5"/>
  <c r="C19" i="5"/>
  <c r="J18" i="5"/>
  <c r="J64" i="5" s="1"/>
  <c r="E18" i="5"/>
  <c r="D18" i="5"/>
  <c r="D64" i="5" s="1"/>
  <c r="C18" i="5"/>
  <c r="G12" i="5"/>
  <c r="G10" i="5"/>
  <c r="B10" i="5"/>
  <c r="G9" i="5"/>
  <c r="G11" i="5" s="1"/>
  <c r="B9" i="5"/>
  <c r="C5" i="5"/>
  <c r="C4" i="5"/>
  <c r="B3" i="5"/>
  <c r="B2" i="5"/>
  <c r="J63" i="6"/>
  <c r="H63" i="6" s="1"/>
  <c r="E63" i="6"/>
  <c r="D63" i="6"/>
  <c r="C63" i="6"/>
  <c r="B63" i="6"/>
  <c r="E62" i="6"/>
  <c r="D62" i="6"/>
  <c r="C62" i="6"/>
  <c r="E61" i="6"/>
  <c r="D61" i="6"/>
  <c r="C61" i="6"/>
  <c r="E60" i="6"/>
  <c r="D60" i="6"/>
  <c r="C60" i="6"/>
  <c r="E59" i="6"/>
  <c r="D59" i="6"/>
  <c r="C59" i="6"/>
  <c r="E58" i="6"/>
  <c r="D58" i="6"/>
  <c r="C58" i="6"/>
  <c r="E57" i="6"/>
  <c r="D57" i="6"/>
  <c r="C57" i="6"/>
  <c r="E56" i="6"/>
  <c r="D56" i="6"/>
  <c r="C56" i="6"/>
  <c r="E55" i="6"/>
  <c r="D55" i="6"/>
  <c r="C55" i="6"/>
  <c r="E54" i="6"/>
  <c r="D54" i="6"/>
  <c r="C54" i="6"/>
  <c r="J53" i="6"/>
  <c r="E53" i="6"/>
  <c r="D53" i="6"/>
  <c r="C53" i="6"/>
  <c r="J52" i="6"/>
  <c r="H52" i="6" s="1"/>
  <c r="E52" i="6"/>
  <c r="D52" i="6"/>
  <c r="C52" i="6"/>
  <c r="F52" i="6" s="1"/>
  <c r="E51" i="6"/>
  <c r="D51" i="6"/>
  <c r="C51" i="6"/>
  <c r="E50" i="6"/>
  <c r="D50" i="6"/>
  <c r="C50" i="6"/>
  <c r="F50" i="6" s="1"/>
  <c r="E49" i="6"/>
  <c r="D49" i="6"/>
  <c r="C49" i="6"/>
  <c r="E48" i="6"/>
  <c r="D48" i="6"/>
  <c r="C48" i="6"/>
  <c r="F48" i="6" s="1"/>
  <c r="E47" i="6"/>
  <c r="D47" i="6"/>
  <c r="C47" i="6"/>
  <c r="J46" i="6"/>
  <c r="E46" i="6"/>
  <c r="D46" i="6"/>
  <c r="C46" i="6"/>
  <c r="E45" i="6"/>
  <c r="D45" i="6"/>
  <c r="C45" i="6"/>
  <c r="F45" i="6" s="1"/>
  <c r="J44" i="6"/>
  <c r="E44" i="6"/>
  <c r="D44" i="6"/>
  <c r="C44" i="6"/>
  <c r="F44" i="6" s="1"/>
  <c r="J43" i="6"/>
  <c r="H43" i="6" s="1"/>
  <c r="E43" i="6"/>
  <c r="D43" i="6"/>
  <c r="C43" i="6"/>
  <c r="F43" i="6" s="1"/>
  <c r="H42" i="6"/>
  <c r="E42" i="6"/>
  <c r="D42" i="6"/>
  <c r="C42" i="6"/>
  <c r="F42" i="6" s="1"/>
  <c r="H41" i="6"/>
  <c r="E41" i="6"/>
  <c r="D41" i="6"/>
  <c r="C41" i="6"/>
  <c r="F41" i="6" s="1"/>
  <c r="H40" i="6"/>
  <c r="E40" i="6"/>
  <c r="D40" i="6"/>
  <c r="C40" i="6"/>
  <c r="F40" i="6" s="1"/>
  <c r="H39" i="6"/>
  <c r="E39" i="6"/>
  <c r="D39" i="6"/>
  <c r="C39" i="6"/>
  <c r="F39" i="6" s="1"/>
  <c r="J38" i="6"/>
  <c r="H38" i="6"/>
  <c r="E38" i="6"/>
  <c r="D38" i="6"/>
  <c r="C38" i="6"/>
  <c r="H37" i="6"/>
  <c r="E37" i="6"/>
  <c r="D37" i="6"/>
  <c r="C37" i="6"/>
  <c r="J36" i="6"/>
  <c r="H36" i="6"/>
  <c r="E36" i="6"/>
  <c r="D36" i="6"/>
  <c r="C36" i="6"/>
  <c r="F36" i="6" s="1"/>
  <c r="J35" i="6"/>
  <c r="H35" i="6"/>
  <c r="E35" i="6"/>
  <c r="D35" i="6"/>
  <c r="C35" i="6"/>
  <c r="E34" i="6"/>
  <c r="D34" i="6"/>
  <c r="C34" i="6"/>
  <c r="F34" i="6" s="1"/>
  <c r="E33" i="6"/>
  <c r="D33" i="6"/>
  <c r="C33" i="6"/>
  <c r="E32" i="6"/>
  <c r="D32" i="6"/>
  <c r="C32" i="6"/>
  <c r="F32" i="6" s="1"/>
  <c r="J31" i="6"/>
  <c r="E31" i="6"/>
  <c r="D31" i="6"/>
  <c r="C31" i="6"/>
  <c r="F31" i="6" s="1"/>
  <c r="H30" i="6"/>
  <c r="E30" i="6"/>
  <c r="D30" i="6"/>
  <c r="C30" i="6"/>
  <c r="F30" i="6" s="1"/>
  <c r="H29" i="6"/>
  <c r="E29" i="6"/>
  <c r="D29" i="6"/>
  <c r="C29" i="6"/>
  <c r="F29" i="6" s="1"/>
  <c r="J28" i="6"/>
  <c r="H28" i="6"/>
  <c r="E28" i="6"/>
  <c r="D28" i="6"/>
  <c r="F28" i="6" s="1"/>
  <c r="C28" i="6"/>
  <c r="H27" i="6"/>
  <c r="E27" i="6"/>
  <c r="D27" i="6"/>
  <c r="F27" i="6" s="1"/>
  <c r="C27" i="6"/>
  <c r="H26" i="6"/>
  <c r="E26" i="6"/>
  <c r="D26" i="6"/>
  <c r="F26" i="6" s="1"/>
  <c r="C26" i="6"/>
  <c r="H25" i="6"/>
  <c r="E25" i="6"/>
  <c r="D25" i="6"/>
  <c r="C25" i="6"/>
  <c r="H24" i="6"/>
  <c r="E24" i="6"/>
  <c r="D24" i="6"/>
  <c r="C24" i="6"/>
  <c r="J23" i="6"/>
  <c r="H23" i="6"/>
  <c r="E23" i="6"/>
  <c r="D23" i="6"/>
  <c r="C23" i="6"/>
  <c r="E22" i="6"/>
  <c r="D22" i="6"/>
  <c r="C22" i="6"/>
  <c r="E21" i="6"/>
  <c r="D21" i="6"/>
  <c r="C21" i="6"/>
  <c r="E20" i="6"/>
  <c r="D20" i="6"/>
  <c r="C20" i="6"/>
  <c r="E19" i="6"/>
  <c r="D19" i="6"/>
  <c r="C19" i="6"/>
  <c r="J18" i="6"/>
  <c r="E18" i="6"/>
  <c r="D18" i="6"/>
  <c r="C18" i="6"/>
  <c r="G12" i="6"/>
  <c r="G10" i="6"/>
  <c r="B10" i="6"/>
  <c r="G9" i="6"/>
  <c r="G11" i="6" s="1"/>
  <c r="B9" i="6"/>
  <c r="C5" i="6"/>
  <c r="C4" i="6"/>
  <c r="B3" i="6"/>
  <c r="B2" i="6"/>
  <c r="J63" i="4"/>
  <c r="H63" i="4" s="1"/>
  <c r="E63" i="4"/>
  <c r="D63" i="4"/>
  <c r="C63" i="4"/>
  <c r="B63" i="4"/>
  <c r="E62" i="4"/>
  <c r="D62" i="4"/>
  <c r="C62" i="4"/>
  <c r="E61" i="4"/>
  <c r="D61" i="4"/>
  <c r="C61" i="4"/>
  <c r="E60" i="4"/>
  <c r="D60" i="4"/>
  <c r="C60" i="4"/>
  <c r="E59" i="4"/>
  <c r="D59" i="4"/>
  <c r="C59" i="4"/>
  <c r="F59" i="4" s="1"/>
  <c r="E58" i="4"/>
  <c r="D58" i="4"/>
  <c r="C58" i="4"/>
  <c r="E57" i="4"/>
  <c r="D57" i="4"/>
  <c r="C57" i="4"/>
  <c r="E56" i="4"/>
  <c r="D56" i="4"/>
  <c r="C56" i="4"/>
  <c r="E55" i="4"/>
  <c r="D55" i="4"/>
  <c r="C55" i="4"/>
  <c r="E54" i="4"/>
  <c r="D54" i="4"/>
  <c r="C54" i="4"/>
  <c r="J53" i="4"/>
  <c r="E53" i="4"/>
  <c r="D53" i="4"/>
  <c r="C53" i="4"/>
  <c r="J52" i="4"/>
  <c r="H52" i="4" s="1"/>
  <c r="E52" i="4"/>
  <c r="D52" i="4"/>
  <c r="C52" i="4"/>
  <c r="E51" i="4"/>
  <c r="D51" i="4"/>
  <c r="C51" i="4"/>
  <c r="E50" i="4"/>
  <c r="D50" i="4"/>
  <c r="C50" i="4"/>
  <c r="E49" i="4"/>
  <c r="D49" i="4"/>
  <c r="F49" i="4" s="1"/>
  <c r="C49" i="4"/>
  <c r="E48" i="4"/>
  <c r="D48" i="4"/>
  <c r="C48" i="4"/>
  <c r="F48" i="4" s="1"/>
  <c r="E47" i="4"/>
  <c r="D47" i="4"/>
  <c r="C47" i="4"/>
  <c r="J46" i="4"/>
  <c r="E46" i="4"/>
  <c r="D46" i="4"/>
  <c r="F46" i="4" s="1"/>
  <c r="C46" i="4"/>
  <c r="E45" i="4"/>
  <c r="D45" i="4"/>
  <c r="C45" i="4"/>
  <c r="F45" i="4" s="1"/>
  <c r="J44" i="4"/>
  <c r="E44" i="4"/>
  <c r="D44" i="4"/>
  <c r="C44" i="4"/>
  <c r="F44" i="4" s="1"/>
  <c r="J43" i="4"/>
  <c r="H43" i="4"/>
  <c r="E43" i="4"/>
  <c r="D43" i="4"/>
  <c r="C43" i="4"/>
  <c r="H42" i="4"/>
  <c r="E42" i="4"/>
  <c r="D42" i="4"/>
  <c r="C42" i="4"/>
  <c r="H41" i="4"/>
  <c r="E41" i="4"/>
  <c r="D41" i="4"/>
  <c r="C41" i="4"/>
  <c r="H40" i="4"/>
  <c r="E40" i="4"/>
  <c r="D40" i="4"/>
  <c r="F40" i="4" s="1"/>
  <c r="C40" i="4"/>
  <c r="H39" i="4"/>
  <c r="E39" i="4"/>
  <c r="D39" i="4"/>
  <c r="C39" i="4"/>
  <c r="J38" i="4"/>
  <c r="H38" i="4"/>
  <c r="E38" i="4"/>
  <c r="D38" i="4"/>
  <c r="C38" i="4"/>
  <c r="H37" i="4"/>
  <c r="E37" i="4"/>
  <c r="D37" i="4"/>
  <c r="C37" i="4"/>
  <c r="F37" i="4" s="1"/>
  <c r="J36" i="4"/>
  <c r="H36" i="4"/>
  <c r="E36" i="4"/>
  <c r="D36" i="4"/>
  <c r="C36" i="4"/>
  <c r="J35" i="4"/>
  <c r="H35" i="4"/>
  <c r="E35" i="4"/>
  <c r="D35" i="4"/>
  <c r="C35" i="4"/>
  <c r="F35" i="4" s="1"/>
  <c r="E34" i="4"/>
  <c r="D34" i="4"/>
  <c r="C34" i="4"/>
  <c r="E33" i="4"/>
  <c r="D33" i="4"/>
  <c r="C33" i="4"/>
  <c r="E32" i="4"/>
  <c r="D32" i="4"/>
  <c r="C32" i="4"/>
  <c r="J31" i="4"/>
  <c r="E31" i="4"/>
  <c r="D31" i="4"/>
  <c r="C31" i="4"/>
  <c r="H30" i="4"/>
  <c r="E30" i="4"/>
  <c r="D30" i="4"/>
  <c r="F30" i="4" s="1"/>
  <c r="C30" i="4"/>
  <c r="H29" i="4"/>
  <c r="E29" i="4"/>
  <c r="D29" i="4"/>
  <c r="C29" i="4"/>
  <c r="J28" i="4"/>
  <c r="H28" i="4"/>
  <c r="E28" i="4"/>
  <c r="D28" i="4"/>
  <c r="C28" i="4"/>
  <c r="F28" i="4" s="1"/>
  <c r="H27" i="4"/>
  <c r="E27" i="4"/>
  <c r="D27" i="4"/>
  <c r="C27" i="4"/>
  <c r="H26" i="4"/>
  <c r="E26" i="4"/>
  <c r="D26" i="4"/>
  <c r="C26" i="4"/>
  <c r="H25" i="4"/>
  <c r="E25" i="4"/>
  <c r="D25" i="4"/>
  <c r="C25" i="4"/>
  <c r="F25" i="4" s="1"/>
  <c r="H24" i="4"/>
  <c r="E24" i="4"/>
  <c r="D24" i="4"/>
  <c r="C24" i="4"/>
  <c r="F24" i="4" s="1"/>
  <c r="J23" i="4"/>
  <c r="H23" i="4"/>
  <c r="E23" i="4"/>
  <c r="D23" i="4"/>
  <c r="C23" i="4"/>
  <c r="E22" i="4"/>
  <c r="D22" i="4"/>
  <c r="C22" i="4"/>
  <c r="E21" i="4"/>
  <c r="D21" i="4"/>
  <c r="C21" i="4"/>
  <c r="E20" i="4"/>
  <c r="D20" i="4"/>
  <c r="C20" i="4"/>
  <c r="F20" i="4" s="1"/>
  <c r="E19" i="4"/>
  <c r="D19" i="4"/>
  <c r="C19" i="4"/>
  <c r="J18" i="4"/>
  <c r="J64" i="4" s="1"/>
  <c r="E18" i="4"/>
  <c r="D18" i="4"/>
  <c r="D64" i="4" s="1"/>
  <c r="C18" i="4"/>
  <c r="G12" i="4"/>
  <c r="G10" i="4"/>
  <c r="B10" i="4"/>
  <c r="G9" i="4"/>
  <c r="G11" i="4" s="1"/>
  <c r="B9" i="4"/>
  <c r="C5" i="4"/>
  <c r="C4" i="4"/>
  <c r="B3" i="4"/>
  <c r="B2" i="4"/>
  <c r="J63" i="3"/>
  <c r="H63" i="3" s="1"/>
  <c r="E63" i="3"/>
  <c r="D63" i="3"/>
  <c r="C63" i="3"/>
  <c r="B63" i="3"/>
  <c r="E62" i="3"/>
  <c r="D62" i="3"/>
  <c r="C62" i="3"/>
  <c r="E61" i="3"/>
  <c r="D61" i="3"/>
  <c r="C61" i="3"/>
  <c r="E60" i="3"/>
  <c r="D60" i="3"/>
  <c r="C60" i="3"/>
  <c r="E59" i="3"/>
  <c r="D59" i="3"/>
  <c r="C59" i="3"/>
  <c r="E58" i="3"/>
  <c r="D58" i="3"/>
  <c r="C58" i="3"/>
  <c r="E57" i="3"/>
  <c r="D57" i="3"/>
  <c r="C57" i="3"/>
  <c r="E56" i="3"/>
  <c r="D56" i="3"/>
  <c r="C56" i="3"/>
  <c r="E55" i="3"/>
  <c r="D55" i="3"/>
  <c r="C55" i="3"/>
  <c r="E54" i="3"/>
  <c r="D54" i="3"/>
  <c r="C54" i="3"/>
  <c r="J53" i="3"/>
  <c r="E53" i="3"/>
  <c r="D53" i="3"/>
  <c r="C53" i="3"/>
  <c r="J52" i="3"/>
  <c r="H52" i="3" s="1"/>
  <c r="E52" i="3"/>
  <c r="D52" i="3"/>
  <c r="C52" i="3"/>
  <c r="E51" i="3"/>
  <c r="D51" i="3"/>
  <c r="C51" i="3"/>
  <c r="E50" i="3"/>
  <c r="D50" i="3"/>
  <c r="C50" i="3"/>
  <c r="E49" i="3"/>
  <c r="D49" i="3"/>
  <c r="C49" i="3"/>
  <c r="E48" i="3"/>
  <c r="D48" i="3"/>
  <c r="C48" i="3"/>
  <c r="E47" i="3"/>
  <c r="D47" i="3"/>
  <c r="C47" i="3"/>
  <c r="J46" i="3"/>
  <c r="E46" i="3"/>
  <c r="D46" i="3"/>
  <c r="C46" i="3"/>
  <c r="E45" i="3"/>
  <c r="D45" i="3"/>
  <c r="C45" i="3"/>
  <c r="J44" i="3"/>
  <c r="E44" i="3"/>
  <c r="D44" i="3"/>
  <c r="C44" i="3"/>
  <c r="J43" i="3"/>
  <c r="H43" i="3" s="1"/>
  <c r="E43" i="3"/>
  <c r="D43" i="3"/>
  <c r="C43" i="3"/>
  <c r="H42" i="3"/>
  <c r="E42" i="3"/>
  <c r="D42" i="3"/>
  <c r="C42" i="3"/>
  <c r="F42" i="3" s="1"/>
  <c r="H41" i="3"/>
  <c r="E41" i="3"/>
  <c r="D41" i="3"/>
  <c r="C41" i="3"/>
  <c r="H40" i="3"/>
  <c r="E40" i="3"/>
  <c r="D40" i="3"/>
  <c r="C40" i="3"/>
  <c r="F40" i="3" s="1"/>
  <c r="H39" i="3"/>
  <c r="E39" i="3"/>
  <c r="D39" i="3"/>
  <c r="C39" i="3"/>
  <c r="J38" i="3"/>
  <c r="H38" i="3"/>
  <c r="E38" i="3"/>
  <c r="D38" i="3"/>
  <c r="C38" i="3"/>
  <c r="H37" i="3"/>
  <c r="E37" i="3"/>
  <c r="D37" i="3"/>
  <c r="C37" i="3"/>
  <c r="J36" i="3"/>
  <c r="H36" i="3"/>
  <c r="E36" i="3"/>
  <c r="D36" i="3"/>
  <c r="C36" i="3"/>
  <c r="J35" i="3"/>
  <c r="H35" i="3"/>
  <c r="E35" i="3"/>
  <c r="D35" i="3"/>
  <c r="C35" i="3"/>
  <c r="E34" i="3"/>
  <c r="D34" i="3"/>
  <c r="C34" i="3"/>
  <c r="F34" i="3" s="1"/>
  <c r="E33" i="3"/>
  <c r="D33" i="3"/>
  <c r="C33" i="3"/>
  <c r="E32" i="3"/>
  <c r="D32" i="3"/>
  <c r="C32" i="3"/>
  <c r="J31" i="3"/>
  <c r="E31" i="3"/>
  <c r="D31" i="3"/>
  <c r="C31" i="3"/>
  <c r="F31" i="3" s="1"/>
  <c r="H30" i="3"/>
  <c r="E30" i="3"/>
  <c r="D30" i="3"/>
  <c r="C30" i="3"/>
  <c r="F30" i="3" s="1"/>
  <c r="H29" i="3"/>
  <c r="E29" i="3"/>
  <c r="D29" i="3"/>
  <c r="C29" i="3"/>
  <c r="J28" i="3"/>
  <c r="H28" i="3"/>
  <c r="E28" i="3"/>
  <c r="D28" i="3"/>
  <c r="F28" i="3" s="1"/>
  <c r="C28" i="3"/>
  <c r="H27" i="3"/>
  <c r="E27" i="3"/>
  <c r="D27" i="3"/>
  <c r="C27" i="3"/>
  <c r="H26" i="3"/>
  <c r="E26" i="3"/>
  <c r="D26" i="3"/>
  <c r="C26" i="3"/>
  <c r="H25" i="3"/>
  <c r="E25" i="3"/>
  <c r="D25" i="3"/>
  <c r="C25" i="3"/>
  <c r="H24" i="3"/>
  <c r="E24" i="3"/>
  <c r="D24" i="3"/>
  <c r="F24" i="3" s="1"/>
  <c r="C24" i="3"/>
  <c r="J23" i="3"/>
  <c r="H23" i="3"/>
  <c r="E23" i="3"/>
  <c r="D23" i="3"/>
  <c r="C23" i="3"/>
  <c r="E22" i="3"/>
  <c r="D22" i="3"/>
  <c r="C22" i="3"/>
  <c r="E21" i="3"/>
  <c r="D21" i="3"/>
  <c r="C21" i="3"/>
  <c r="F21" i="3" s="1"/>
  <c r="E20" i="3"/>
  <c r="D20" i="3"/>
  <c r="C20" i="3"/>
  <c r="E19" i="3"/>
  <c r="D19" i="3"/>
  <c r="C19" i="3"/>
  <c r="J18" i="3"/>
  <c r="E18" i="3"/>
  <c r="E64" i="3" s="1"/>
  <c r="D18" i="3"/>
  <c r="C18" i="3"/>
  <c r="C64" i="3" s="1"/>
  <c r="G12" i="3"/>
  <c r="G10" i="3"/>
  <c r="B10" i="3"/>
  <c r="G9" i="3"/>
  <c r="G11" i="3" s="1"/>
  <c r="B9" i="3"/>
  <c r="C5" i="3"/>
  <c r="C4" i="3"/>
  <c r="B3" i="3"/>
  <c r="B2" i="3"/>
  <c r="J63" i="2"/>
  <c r="H63" i="2" s="1"/>
  <c r="E63" i="2"/>
  <c r="D63" i="2"/>
  <c r="C63" i="2"/>
  <c r="B63" i="2"/>
  <c r="F63" i="2" s="1"/>
  <c r="E62" i="2"/>
  <c r="D62" i="2"/>
  <c r="C62" i="2"/>
  <c r="E61" i="2"/>
  <c r="D61" i="2"/>
  <c r="C61" i="2"/>
  <c r="F61" i="2" s="1"/>
  <c r="E60" i="2"/>
  <c r="D60" i="2"/>
  <c r="C60" i="2"/>
  <c r="E59" i="2"/>
  <c r="D59" i="2"/>
  <c r="C59" i="2"/>
  <c r="F59" i="2" s="1"/>
  <c r="E58" i="2"/>
  <c r="D58" i="2"/>
  <c r="C58" i="2"/>
  <c r="E57" i="2"/>
  <c r="D57" i="2"/>
  <c r="C57" i="2"/>
  <c r="F57" i="2" s="1"/>
  <c r="E56" i="2"/>
  <c r="D56" i="2"/>
  <c r="C56" i="2"/>
  <c r="E55" i="2"/>
  <c r="D55" i="2"/>
  <c r="C55" i="2"/>
  <c r="F55" i="2" s="1"/>
  <c r="E54" i="2"/>
  <c r="D54" i="2"/>
  <c r="C54" i="2"/>
  <c r="J53" i="2"/>
  <c r="E53" i="2"/>
  <c r="D53" i="2"/>
  <c r="C53" i="2"/>
  <c r="J52" i="2"/>
  <c r="H52" i="2" s="1"/>
  <c r="E52" i="2"/>
  <c r="D52" i="2"/>
  <c r="C52" i="2"/>
  <c r="E51" i="2"/>
  <c r="D51" i="2"/>
  <c r="C51" i="2"/>
  <c r="E50" i="2"/>
  <c r="D50" i="2"/>
  <c r="C50" i="2"/>
  <c r="E49" i="2"/>
  <c r="D49" i="2"/>
  <c r="C49" i="2"/>
  <c r="E48" i="2"/>
  <c r="D48" i="2"/>
  <c r="C48" i="2"/>
  <c r="E47" i="2"/>
  <c r="D47" i="2"/>
  <c r="C47" i="2"/>
  <c r="J46" i="2"/>
  <c r="E46" i="2"/>
  <c r="D46" i="2"/>
  <c r="C46" i="2"/>
  <c r="E45" i="2"/>
  <c r="D45" i="2"/>
  <c r="C45" i="2"/>
  <c r="J44" i="2"/>
  <c r="E44" i="2"/>
  <c r="D44" i="2"/>
  <c r="C44" i="2"/>
  <c r="J43" i="2"/>
  <c r="H43" i="2" s="1"/>
  <c r="E43" i="2"/>
  <c r="D43" i="2"/>
  <c r="C43" i="2"/>
  <c r="H42" i="2"/>
  <c r="E42" i="2"/>
  <c r="D42" i="2"/>
  <c r="C42" i="2"/>
  <c r="H41" i="2"/>
  <c r="E41" i="2"/>
  <c r="D41" i="2"/>
  <c r="C41" i="2"/>
  <c r="H40" i="2"/>
  <c r="E40" i="2"/>
  <c r="D40" i="2"/>
  <c r="C40" i="2"/>
  <c r="H39" i="2"/>
  <c r="E39" i="2"/>
  <c r="D39" i="2"/>
  <c r="C39" i="2"/>
  <c r="J38" i="2"/>
  <c r="H38" i="2"/>
  <c r="E38" i="2"/>
  <c r="D38" i="2"/>
  <c r="C38" i="2"/>
  <c r="H37" i="2"/>
  <c r="E37" i="2"/>
  <c r="D37" i="2"/>
  <c r="C37" i="2"/>
  <c r="J36" i="2"/>
  <c r="H36" i="2"/>
  <c r="E36" i="2"/>
  <c r="D36" i="2"/>
  <c r="C36" i="2"/>
  <c r="J35" i="2"/>
  <c r="H35" i="2"/>
  <c r="E35" i="2"/>
  <c r="D35" i="2"/>
  <c r="C35" i="2"/>
  <c r="E34" i="2"/>
  <c r="D34" i="2"/>
  <c r="F34" i="2" s="1"/>
  <c r="C34" i="2"/>
  <c r="E33" i="2"/>
  <c r="D33" i="2"/>
  <c r="C33" i="2"/>
  <c r="F33" i="2" s="1"/>
  <c r="E32" i="2"/>
  <c r="D32" i="2"/>
  <c r="C32" i="2"/>
  <c r="J31" i="2"/>
  <c r="E31" i="2"/>
  <c r="D31" i="2"/>
  <c r="C31" i="2"/>
  <c r="H30" i="2"/>
  <c r="E30" i="2"/>
  <c r="D30" i="2"/>
  <c r="C30" i="2"/>
  <c r="H29" i="2"/>
  <c r="E29" i="2"/>
  <c r="D29" i="2"/>
  <c r="C29" i="2"/>
  <c r="J28" i="2"/>
  <c r="H28" i="2"/>
  <c r="E28" i="2"/>
  <c r="D28" i="2"/>
  <c r="C28" i="2"/>
  <c r="F28" i="2" s="1"/>
  <c r="H27" i="2"/>
  <c r="E27" i="2"/>
  <c r="D27" i="2"/>
  <c r="C27" i="2"/>
  <c r="F27" i="2" s="1"/>
  <c r="H26" i="2"/>
  <c r="E26" i="2"/>
  <c r="D26" i="2"/>
  <c r="C26" i="2"/>
  <c r="F26" i="2" s="1"/>
  <c r="H25" i="2"/>
  <c r="E25" i="2"/>
  <c r="D25" i="2"/>
  <c r="C25" i="2"/>
  <c r="F25" i="2" s="1"/>
  <c r="H24" i="2"/>
  <c r="E24" i="2"/>
  <c r="D24" i="2"/>
  <c r="C24" i="2"/>
  <c r="F24" i="2" s="1"/>
  <c r="J23" i="2"/>
  <c r="H23" i="2"/>
  <c r="E23" i="2"/>
  <c r="D23" i="2"/>
  <c r="C23" i="2"/>
  <c r="E22" i="2"/>
  <c r="D22" i="2"/>
  <c r="C22" i="2"/>
  <c r="F22" i="2" s="1"/>
  <c r="E21" i="2"/>
  <c r="D21" i="2"/>
  <c r="C21" i="2"/>
  <c r="E20" i="2"/>
  <c r="D20" i="2"/>
  <c r="C20" i="2"/>
  <c r="F20" i="2" s="1"/>
  <c r="E19" i="2"/>
  <c r="D19" i="2"/>
  <c r="C19" i="2"/>
  <c r="J18" i="2"/>
  <c r="J64" i="2" s="1"/>
  <c r="E18" i="2"/>
  <c r="D18" i="2"/>
  <c r="D64" i="2" s="1"/>
  <c r="C18" i="2"/>
  <c r="G12" i="2"/>
  <c r="G10" i="2"/>
  <c r="B10" i="2"/>
  <c r="G9" i="2"/>
  <c r="G11" i="2" s="1"/>
  <c r="B9" i="2"/>
  <c r="C5" i="2"/>
  <c r="C4" i="2"/>
  <c r="B3" i="2"/>
  <c r="B2" i="2"/>
  <c r="J63" i="1"/>
  <c r="H63" i="1" s="1"/>
  <c r="E63" i="1"/>
  <c r="D63" i="1"/>
  <c r="C63" i="1"/>
  <c r="B63" i="1"/>
  <c r="E62" i="1"/>
  <c r="D62" i="1"/>
  <c r="C62" i="1"/>
  <c r="F62" i="1" s="1"/>
  <c r="E61" i="1"/>
  <c r="D61" i="1"/>
  <c r="C61" i="1"/>
  <c r="E60" i="1"/>
  <c r="D60" i="1"/>
  <c r="C60" i="1"/>
  <c r="E59" i="1"/>
  <c r="D59" i="1"/>
  <c r="C59" i="1"/>
  <c r="E58" i="1"/>
  <c r="D58" i="1"/>
  <c r="C58" i="1"/>
  <c r="F58" i="1" s="1"/>
  <c r="E57" i="1"/>
  <c r="D57" i="1"/>
  <c r="C57" i="1"/>
  <c r="E56" i="1"/>
  <c r="D56" i="1"/>
  <c r="C56" i="1"/>
  <c r="E55" i="1"/>
  <c r="D55" i="1"/>
  <c r="C55" i="1"/>
  <c r="E54" i="1"/>
  <c r="D54" i="1"/>
  <c r="C54" i="1"/>
  <c r="F54" i="1" s="1"/>
  <c r="J53" i="1"/>
  <c r="E53" i="1"/>
  <c r="D53" i="1"/>
  <c r="C53" i="1"/>
  <c r="J52" i="1"/>
  <c r="H52" i="1" s="1"/>
  <c r="E52" i="1"/>
  <c r="D52" i="1"/>
  <c r="C52" i="1"/>
  <c r="F52" i="1" s="1"/>
  <c r="E51" i="1"/>
  <c r="D51" i="1"/>
  <c r="C51" i="1"/>
  <c r="E50" i="1"/>
  <c r="D50" i="1"/>
  <c r="C50" i="1"/>
  <c r="E49" i="1"/>
  <c r="D49" i="1"/>
  <c r="C49" i="1"/>
  <c r="E48" i="1"/>
  <c r="D48" i="1"/>
  <c r="C48" i="1"/>
  <c r="F48" i="1" s="1"/>
  <c r="E47" i="1"/>
  <c r="D47" i="1"/>
  <c r="C47" i="1"/>
  <c r="J46" i="1"/>
  <c r="E46" i="1"/>
  <c r="D46" i="1"/>
  <c r="F46" i="1" s="1"/>
  <c r="C46" i="1"/>
  <c r="E45" i="1"/>
  <c r="D45" i="1"/>
  <c r="C45" i="1"/>
  <c r="J44" i="1"/>
  <c r="E44" i="1"/>
  <c r="D44" i="1"/>
  <c r="C44" i="1"/>
  <c r="F44" i="1" s="1"/>
  <c r="J43" i="1"/>
  <c r="H43" i="1" s="1"/>
  <c r="E43" i="1"/>
  <c r="D43" i="1"/>
  <c r="C43" i="1"/>
  <c r="H42" i="1"/>
  <c r="E42" i="1"/>
  <c r="D42" i="1"/>
  <c r="C42" i="1"/>
  <c r="H41" i="1"/>
  <c r="E41" i="1"/>
  <c r="D41" i="1"/>
  <c r="C41" i="1"/>
  <c r="F41" i="1" s="1"/>
  <c r="H40" i="1"/>
  <c r="E40" i="1"/>
  <c r="D40" i="1"/>
  <c r="C40" i="1"/>
  <c r="H39" i="1"/>
  <c r="E39" i="1"/>
  <c r="D39" i="1"/>
  <c r="C39" i="1"/>
  <c r="J38" i="1"/>
  <c r="H38" i="1"/>
  <c r="E38" i="1"/>
  <c r="D38" i="1"/>
  <c r="F38" i="1" s="1"/>
  <c r="C38" i="1"/>
  <c r="H37" i="1"/>
  <c r="E37" i="1"/>
  <c r="D37" i="1"/>
  <c r="C37" i="1"/>
  <c r="J36" i="1"/>
  <c r="H36" i="1"/>
  <c r="E36" i="1"/>
  <c r="D36" i="1"/>
  <c r="C36" i="1"/>
  <c r="J35" i="1"/>
  <c r="H35" i="1"/>
  <c r="E35" i="1"/>
  <c r="D35" i="1"/>
  <c r="F35" i="1" s="1"/>
  <c r="C35" i="1"/>
  <c r="E34" i="1"/>
  <c r="D34" i="1"/>
  <c r="C34" i="1"/>
  <c r="E33" i="1"/>
  <c r="D33" i="1"/>
  <c r="C33" i="1"/>
  <c r="E32" i="1"/>
  <c r="D32" i="1"/>
  <c r="C32" i="1"/>
  <c r="J31" i="1"/>
  <c r="E31" i="1"/>
  <c r="D31" i="1"/>
  <c r="C31" i="1"/>
  <c r="H30" i="1"/>
  <c r="E30" i="1"/>
  <c r="D30" i="1"/>
  <c r="C30" i="1"/>
  <c r="H29" i="1"/>
  <c r="E29" i="1"/>
  <c r="D29" i="1"/>
  <c r="C29" i="1"/>
  <c r="F29" i="1" s="1"/>
  <c r="J28" i="1"/>
  <c r="H28" i="1"/>
  <c r="E28" i="1"/>
  <c r="D28" i="1"/>
  <c r="F28" i="1" s="1"/>
  <c r="C28" i="1"/>
  <c r="H27" i="1"/>
  <c r="E27" i="1"/>
  <c r="D27" i="1"/>
  <c r="C27" i="1"/>
  <c r="H26" i="1"/>
  <c r="E26" i="1"/>
  <c r="D26" i="1"/>
  <c r="F26" i="1" s="1"/>
  <c r="C26" i="1"/>
  <c r="H25" i="1"/>
  <c r="E25" i="1"/>
  <c r="D25" i="1"/>
  <c r="F25" i="1" s="1"/>
  <c r="C25" i="1"/>
  <c r="H24" i="1"/>
  <c r="E24" i="1"/>
  <c r="D24" i="1"/>
  <c r="C24" i="1"/>
  <c r="J23" i="1"/>
  <c r="H23" i="1"/>
  <c r="E23" i="1"/>
  <c r="D23" i="1"/>
  <c r="C23" i="1"/>
  <c r="E22" i="1"/>
  <c r="D22" i="1"/>
  <c r="C22" i="1"/>
  <c r="E21" i="1"/>
  <c r="D21" i="1"/>
  <c r="C21" i="1"/>
  <c r="E20" i="1"/>
  <c r="D20" i="1"/>
  <c r="C20" i="1"/>
  <c r="E19" i="1"/>
  <c r="D19" i="1"/>
  <c r="C19" i="1"/>
  <c r="J18" i="1"/>
  <c r="E18" i="1"/>
  <c r="D18" i="1"/>
  <c r="C18" i="1"/>
  <c r="G12" i="1"/>
  <c r="G10" i="1"/>
  <c r="B10" i="1"/>
  <c r="G9" i="1"/>
  <c r="G11" i="1" s="1"/>
  <c r="B9" i="1"/>
  <c r="C5" i="1"/>
  <c r="C4" i="1"/>
  <c r="B3" i="1"/>
  <c r="B2" i="1"/>
  <c r="D64" i="1" l="1"/>
  <c r="J64" i="1"/>
  <c r="F20" i="1"/>
  <c r="F22" i="1"/>
  <c r="F23" i="1"/>
  <c r="F24" i="1"/>
  <c r="F30" i="1"/>
  <c r="F31" i="1"/>
  <c r="F32" i="1"/>
  <c r="F33" i="1"/>
  <c r="F34" i="1"/>
  <c r="F43" i="1"/>
  <c r="F45" i="1"/>
  <c r="F49" i="1"/>
  <c r="F50" i="1"/>
  <c r="F53" i="1"/>
  <c r="F55" i="1"/>
  <c r="F56" i="1"/>
  <c r="F59" i="1"/>
  <c r="F60" i="1"/>
  <c r="F63" i="1"/>
  <c r="F36" i="2"/>
  <c r="F39" i="2"/>
  <c r="F40" i="2"/>
  <c r="F41" i="2"/>
  <c r="F42" i="2"/>
  <c r="F43" i="2"/>
  <c r="F44" i="2"/>
  <c r="F45" i="2"/>
  <c r="F48" i="2"/>
  <c r="F50" i="2"/>
  <c r="F52" i="2"/>
  <c r="J64" i="3"/>
  <c r="F19" i="3"/>
  <c r="F22" i="3"/>
  <c r="F23" i="3"/>
  <c r="F25" i="3"/>
  <c r="F26" i="3"/>
  <c r="F29" i="3"/>
  <c r="F32" i="3"/>
  <c r="F35" i="3"/>
  <c r="F37" i="3"/>
  <c r="F38" i="3"/>
  <c r="F21" i="4"/>
  <c r="F22" i="4"/>
  <c r="F27" i="4"/>
  <c r="F31" i="4"/>
  <c r="F32" i="4"/>
  <c r="F33" i="4"/>
  <c r="F36" i="4"/>
  <c r="F41" i="4"/>
  <c r="F42" i="4"/>
  <c r="F47" i="4"/>
  <c r="F53" i="4"/>
  <c r="F54" i="4"/>
  <c r="F56" i="4"/>
  <c r="F60" i="4"/>
  <c r="D64" i="6"/>
  <c r="J64" i="6"/>
  <c r="F21" i="6"/>
  <c r="F23" i="6"/>
  <c r="F24" i="6"/>
  <c r="F46" i="6"/>
  <c r="F47" i="6"/>
  <c r="F49" i="6"/>
  <c r="F51" i="6"/>
  <c r="F55" i="6"/>
  <c r="F57" i="6"/>
  <c r="F59" i="6"/>
  <c r="F61" i="6"/>
  <c r="F63" i="6"/>
  <c r="F18" i="5"/>
  <c r="E64" i="5"/>
  <c r="F21" i="5"/>
  <c r="F22" i="5"/>
  <c r="F27" i="5"/>
  <c r="F31" i="5"/>
  <c r="F32" i="5"/>
  <c r="F36" i="5"/>
  <c r="F39" i="5"/>
  <c r="F55" i="5"/>
  <c r="F56" i="5"/>
  <c r="F62" i="5"/>
  <c r="F63" i="5"/>
  <c r="F18" i="7"/>
  <c r="E64" i="7"/>
  <c r="F19" i="7"/>
  <c r="F20" i="7"/>
  <c r="F23" i="7"/>
  <c r="F25" i="7"/>
  <c r="F29" i="7"/>
  <c r="F30" i="7"/>
  <c r="F34" i="7"/>
  <c r="F35" i="7"/>
  <c r="F39" i="7"/>
  <c r="F40" i="7"/>
  <c r="F55" i="7"/>
  <c r="F56" i="7"/>
  <c r="F62" i="7"/>
  <c r="F63" i="7"/>
  <c r="E64" i="8"/>
  <c r="F21" i="8"/>
  <c r="F22" i="8"/>
  <c r="F27" i="8"/>
  <c r="F31" i="8"/>
  <c r="F32" i="8"/>
  <c r="F36" i="8"/>
  <c r="F39" i="8"/>
  <c r="F40" i="8"/>
  <c r="F43" i="8"/>
  <c r="F52" i="8"/>
  <c r="F55" i="8"/>
  <c r="F63" i="8"/>
  <c r="F21" i="22"/>
  <c r="F21" i="18"/>
  <c r="F18" i="1"/>
  <c r="E64" i="1"/>
  <c r="F19" i="1"/>
  <c r="F21" i="1"/>
  <c r="F27" i="1"/>
  <c r="F36" i="1"/>
  <c r="F37" i="1"/>
  <c r="F39" i="1"/>
  <c r="F40" i="1"/>
  <c r="F42" i="1"/>
  <c r="F47" i="1"/>
  <c r="F51" i="1"/>
  <c r="F57" i="1"/>
  <c r="F61" i="1"/>
  <c r="B64" i="1"/>
  <c r="F18" i="2"/>
  <c r="E64" i="2"/>
  <c r="F19" i="2"/>
  <c r="F21" i="2"/>
  <c r="F23" i="2"/>
  <c r="F29" i="2"/>
  <c r="F30" i="2"/>
  <c r="F31" i="2"/>
  <c r="F32" i="2"/>
  <c r="F35" i="2"/>
  <c r="F37" i="2"/>
  <c r="F38" i="2"/>
  <c r="F46" i="2"/>
  <c r="F47" i="2"/>
  <c r="F49" i="2"/>
  <c r="F51" i="2"/>
  <c r="F53" i="2"/>
  <c r="F54" i="2"/>
  <c r="F56" i="2"/>
  <c r="F58" i="2"/>
  <c r="F60" i="2"/>
  <c r="F62" i="2"/>
  <c r="D64" i="3"/>
  <c r="F18" i="3"/>
  <c r="F20" i="3"/>
  <c r="F27" i="3"/>
  <c r="F33" i="3"/>
  <c r="F36" i="3"/>
  <c r="F46" i="3"/>
  <c r="F47" i="3"/>
  <c r="F49" i="3"/>
  <c r="F51" i="3"/>
  <c r="F55" i="3"/>
  <c r="F57" i="3"/>
  <c r="G20" i="19"/>
  <c r="G19" i="19"/>
  <c r="G20" i="18"/>
  <c r="B22" i="18"/>
  <c r="F39" i="3"/>
  <c r="F41" i="3"/>
  <c r="F43" i="3"/>
  <c r="F44" i="3"/>
  <c r="F45" i="3"/>
  <c r="F48" i="3"/>
  <c r="F50" i="3"/>
  <c r="F52" i="3"/>
  <c r="F53" i="3"/>
  <c r="F54" i="3"/>
  <c r="F56" i="3"/>
  <c r="F58" i="3"/>
  <c r="F60" i="3"/>
  <c r="F62" i="3"/>
  <c r="G20" i="21"/>
  <c r="G18" i="21"/>
  <c r="D22" i="23"/>
  <c r="G18" i="23"/>
  <c r="E22" i="23"/>
  <c r="F59" i="3"/>
  <c r="F61" i="3"/>
  <c r="F63" i="3"/>
  <c r="F18" i="4"/>
  <c r="E64" i="4"/>
  <c r="F19" i="4"/>
  <c r="F23" i="4"/>
  <c r="F26" i="4"/>
  <c r="F29" i="4"/>
  <c r="F34" i="4"/>
  <c r="F38" i="4"/>
  <c r="F51" i="4"/>
  <c r="F57" i="4"/>
  <c r="F53" i="6"/>
  <c r="F54" i="6"/>
  <c r="F56" i="6"/>
  <c r="F58" i="6"/>
  <c r="F60" i="6"/>
  <c r="F62" i="6"/>
  <c r="F40" i="5"/>
  <c r="F41" i="5"/>
  <c r="F42" i="5"/>
  <c r="F43" i="5"/>
  <c r="F46" i="5"/>
  <c r="F47" i="5"/>
  <c r="F49" i="5"/>
  <c r="F51" i="5"/>
  <c r="F53" i="5"/>
  <c r="F54" i="5"/>
  <c r="F57" i="5"/>
  <c r="F58" i="5"/>
  <c r="F59" i="5"/>
  <c r="F21" i="7"/>
  <c r="F24" i="7"/>
  <c r="F28" i="7"/>
  <c r="F31" i="7"/>
  <c r="F32" i="7"/>
  <c r="F61" i="7"/>
  <c r="F18" i="8"/>
  <c r="F19" i="8"/>
  <c r="F23" i="8"/>
  <c r="F26" i="8"/>
  <c r="F29" i="8"/>
  <c r="F34" i="8"/>
  <c r="F38" i="8"/>
  <c r="F41" i="8"/>
  <c r="F44" i="8"/>
  <c r="F45" i="8"/>
  <c r="F48" i="8"/>
  <c r="F50" i="8"/>
  <c r="F61" i="8"/>
  <c r="F39" i="4"/>
  <c r="F43" i="4"/>
  <c r="F50" i="4"/>
  <c r="F52" i="4"/>
  <c r="F55" i="4"/>
  <c r="F58" i="4"/>
  <c r="F61" i="4"/>
  <c r="F62" i="4"/>
  <c r="F63" i="4"/>
  <c r="F18" i="6"/>
  <c r="E64" i="6"/>
  <c r="F19" i="6"/>
  <c r="F20" i="6"/>
  <c r="F22" i="6"/>
  <c r="F25" i="6"/>
  <c r="F33" i="6"/>
  <c r="F35" i="6"/>
  <c r="F37" i="6"/>
  <c r="F38" i="6"/>
  <c r="F19" i="5"/>
  <c r="F23" i="5"/>
  <c r="F26" i="5"/>
  <c r="F29" i="5"/>
  <c r="F34" i="5"/>
  <c r="F38" i="5"/>
  <c r="F61" i="5"/>
  <c r="F38" i="7"/>
  <c r="F41" i="7"/>
  <c r="F42" i="7"/>
  <c r="F43" i="7"/>
  <c r="F46" i="7"/>
  <c r="F47" i="7"/>
  <c r="F49" i="7"/>
  <c r="F51" i="7"/>
  <c r="F53" i="7"/>
  <c r="F54" i="7"/>
  <c r="F57" i="7"/>
  <c r="F59" i="7"/>
  <c r="F46" i="8"/>
  <c r="F47" i="8"/>
  <c r="F49" i="8"/>
  <c r="F51" i="8"/>
  <c r="F54" i="8"/>
  <c r="F57" i="8"/>
  <c r="F59" i="8"/>
  <c r="F62" i="8"/>
  <c r="G20" i="23"/>
  <c r="G18" i="18"/>
  <c r="E22" i="18"/>
  <c r="G19" i="18"/>
  <c r="G21" i="18"/>
  <c r="F22" i="18"/>
  <c r="C22" i="18"/>
  <c r="D22" i="18"/>
  <c r="G21" i="22"/>
  <c r="F22" i="22"/>
  <c r="E22" i="22"/>
  <c r="D22" i="22"/>
  <c r="B22" i="22"/>
  <c r="G19" i="22"/>
  <c r="G20" i="22"/>
  <c r="G18" i="22"/>
  <c r="C22" i="22"/>
  <c r="C22" i="23"/>
  <c r="G21" i="23"/>
  <c r="F22" i="23"/>
  <c r="G19" i="23"/>
  <c r="B22" i="23"/>
  <c r="G18" i="19"/>
  <c r="G21" i="19"/>
  <c r="F22" i="19"/>
  <c r="B22" i="19"/>
  <c r="D22" i="19"/>
  <c r="C22" i="19"/>
  <c r="E22" i="19"/>
  <c r="F21" i="20"/>
  <c r="C22" i="20" s="1"/>
  <c r="E22" i="21"/>
  <c r="G21" i="21"/>
  <c r="F22" i="21"/>
  <c r="B22" i="21"/>
  <c r="G19" i="21"/>
  <c r="C22" i="21"/>
  <c r="D22" i="21"/>
  <c r="G21" i="16"/>
  <c r="F22" i="16"/>
  <c r="E22" i="16"/>
  <c r="G18" i="16"/>
  <c r="B22" i="16"/>
  <c r="G19" i="16"/>
  <c r="D22" i="16"/>
  <c r="G20" i="16"/>
  <c r="C22" i="16"/>
  <c r="G21" i="17"/>
  <c r="F22" i="17"/>
  <c r="D22" i="17"/>
  <c r="B22" i="17"/>
  <c r="E22" i="17"/>
  <c r="G20" i="17"/>
  <c r="G18" i="17"/>
  <c r="C22" i="17"/>
  <c r="G19" i="17"/>
  <c r="C64" i="8"/>
  <c r="B64" i="8"/>
  <c r="C64" i="7"/>
  <c r="B64" i="7"/>
  <c r="C64" i="5"/>
  <c r="B64" i="5"/>
  <c r="C64" i="6"/>
  <c r="B64" i="6"/>
  <c r="C64" i="4"/>
  <c r="B64" i="4"/>
  <c r="B64" i="3"/>
  <c r="C64" i="2"/>
  <c r="B64" i="2"/>
  <c r="C64" i="1"/>
  <c r="F64" i="1" s="1"/>
  <c r="G21" i="20" l="1"/>
  <c r="F22" i="20"/>
  <c r="G19" i="20"/>
  <c r="G18" i="20"/>
  <c r="E22" i="20"/>
  <c r="D22" i="20"/>
  <c r="B22" i="20"/>
  <c r="G20" i="20"/>
  <c r="F64" i="8"/>
  <c r="B65" i="8" s="1"/>
  <c r="C65" i="8"/>
  <c r="F64" i="7"/>
  <c r="B65" i="7" s="1"/>
  <c r="C65" i="7"/>
  <c r="F64" i="5"/>
  <c r="B65" i="5"/>
  <c r="C65" i="5"/>
  <c r="F64" i="6"/>
  <c r="B65" i="6" s="1"/>
  <c r="F64" i="4"/>
  <c r="B65" i="4" s="1"/>
  <c r="C65" i="4"/>
  <c r="F64" i="3"/>
  <c r="B65" i="3" s="1"/>
  <c r="F64" i="2"/>
  <c r="B65" i="2" s="1"/>
  <c r="C65" i="2"/>
  <c r="F65" i="1"/>
  <c r="G64" i="1"/>
  <c r="G18" i="1"/>
  <c r="G37" i="1"/>
  <c r="G58" i="1"/>
  <c r="G25" i="1"/>
  <c r="G35" i="1"/>
  <c r="I35" i="1" s="1"/>
  <c r="G60" i="1"/>
  <c r="G27" i="1"/>
  <c r="G42" i="1"/>
  <c r="G54" i="1"/>
  <c r="G23" i="1"/>
  <c r="G34" i="1"/>
  <c r="G50" i="1"/>
  <c r="G38" i="1"/>
  <c r="B65" i="1"/>
  <c r="D65" i="1"/>
  <c r="G36" i="1"/>
  <c r="I36" i="1" s="1"/>
  <c r="G52" i="1"/>
  <c r="I52" i="1" s="1"/>
  <c r="G20" i="1"/>
  <c r="G33" i="1"/>
  <c r="G55" i="1"/>
  <c r="G21" i="1"/>
  <c r="G40" i="1"/>
  <c r="G51" i="1"/>
  <c r="G22" i="1"/>
  <c r="G32" i="1"/>
  <c r="G46" i="1"/>
  <c r="G59" i="1"/>
  <c r="G24" i="1"/>
  <c r="G47" i="1"/>
  <c r="G28" i="1"/>
  <c r="G49" i="1"/>
  <c r="E65" i="1"/>
  <c r="G39" i="1"/>
  <c r="G48" i="1"/>
  <c r="G62" i="1"/>
  <c r="G31" i="1"/>
  <c r="G43" i="1"/>
  <c r="I43" i="1" s="1"/>
  <c r="G56" i="1"/>
  <c r="G19" i="1"/>
  <c r="G41" i="1"/>
  <c r="G61" i="1"/>
  <c r="G26" i="1"/>
  <c r="G45" i="1"/>
  <c r="G63" i="1"/>
  <c r="I63" i="1" s="1"/>
  <c r="G29" i="1"/>
  <c r="G44" i="1"/>
  <c r="G57" i="1"/>
  <c r="G30" i="1"/>
  <c r="G53" i="1"/>
  <c r="C65" i="1"/>
  <c r="C65" i="6" l="1"/>
  <c r="F65" i="8"/>
  <c r="G64" i="8"/>
  <c r="E65" i="8"/>
  <c r="G29" i="8"/>
  <c r="G40" i="8"/>
  <c r="G56" i="8"/>
  <c r="D65" i="8"/>
  <c r="G33" i="8"/>
  <c r="G54" i="8"/>
  <c r="G19" i="8"/>
  <c r="G41" i="8"/>
  <c r="G21" i="8"/>
  <c r="G32" i="8"/>
  <c r="G47" i="8"/>
  <c r="G25" i="8"/>
  <c r="G38" i="8"/>
  <c r="G50" i="8"/>
  <c r="G63" i="8"/>
  <c r="I63" i="8" s="1"/>
  <c r="G30" i="8"/>
  <c r="G53" i="8"/>
  <c r="G18" i="8"/>
  <c r="G37" i="8"/>
  <c r="G55" i="8"/>
  <c r="G31" i="8"/>
  <c r="G46" i="8"/>
  <c r="G62" i="8"/>
  <c r="G23" i="8"/>
  <c r="G36" i="8"/>
  <c r="G45" i="8"/>
  <c r="G61" i="8"/>
  <c r="G28" i="8"/>
  <c r="I28" i="8" s="1"/>
  <c r="G49" i="8"/>
  <c r="G59" i="8"/>
  <c r="G35" i="8"/>
  <c r="I35" i="8" s="1"/>
  <c r="G52" i="8"/>
  <c r="I52" i="8" s="1"/>
  <c r="G27" i="8"/>
  <c r="G42" i="8"/>
  <c r="G60" i="8"/>
  <c r="G20" i="8"/>
  <c r="G34" i="8"/>
  <c r="G44" i="8"/>
  <c r="G58" i="8"/>
  <c r="G22" i="8"/>
  <c r="G43" i="8"/>
  <c r="I43" i="8" s="1"/>
  <c r="G57" i="8"/>
  <c r="G26" i="8"/>
  <c r="G48" i="8"/>
  <c r="G24" i="8"/>
  <c r="G39" i="8"/>
  <c r="G51" i="8"/>
  <c r="F65" i="7"/>
  <c r="G64" i="7"/>
  <c r="D65" i="7"/>
  <c r="G33" i="7"/>
  <c r="G56" i="7"/>
  <c r="G18" i="7"/>
  <c r="G37" i="7"/>
  <c r="G53" i="7"/>
  <c r="G21" i="7"/>
  <c r="G32" i="7"/>
  <c r="G55" i="7"/>
  <c r="G23" i="7"/>
  <c r="G36" i="7"/>
  <c r="G46" i="7"/>
  <c r="G30" i="7"/>
  <c r="G50" i="7"/>
  <c r="G63" i="7"/>
  <c r="I63" i="7" s="1"/>
  <c r="G35" i="7"/>
  <c r="I35" i="7" s="1"/>
  <c r="G49" i="7"/>
  <c r="G59" i="7"/>
  <c r="G31" i="7"/>
  <c r="G52" i="7"/>
  <c r="I52" i="7" s="1"/>
  <c r="G20" i="7"/>
  <c r="G34" i="7"/>
  <c r="G42" i="7"/>
  <c r="G60" i="7"/>
  <c r="G28" i="7"/>
  <c r="G45" i="7"/>
  <c r="G61" i="7"/>
  <c r="G26" i="7"/>
  <c r="G43" i="7"/>
  <c r="I43" i="7" s="1"/>
  <c r="G57" i="7"/>
  <c r="G27" i="7"/>
  <c r="G48" i="7"/>
  <c r="E65" i="7"/>
  <c r="G29" i="7"/>
  <c r="G40" i="7"/>
  <c r="G51" i="7"/>
  <c r="G22" i="7"/>
  <c r="G44" i="7"/>
  <c r="G58" i="7"/>
  <c r="G19" i="7"/>
  <c r="G41" i="7"/>
  <c r="G54" i="7"/>
  <c r="G24" i="7"/>
  <c r="G39" i="7"/>
  <c r="G62" i="7"/>
  <c r="G25" i="7"/>
  <c r="G38" i="7"/>
  <c r="G47" i="7"/>
  <c r="F65" i="5"/>
  <c r="G64" i="5"/>
  <c r="G18" i="5"/>
  <c r="G37" i="5"/>
  <c r="G56" i="5"/>
  <c r="G24" i="5"/>
  <c r="G39" i="5"/>
  <c r="G53" i="5"/>
  <c r="E65" i="5"/>
  <c r="G29" i="5"/>
  <c r="G48" i="5"/>
  <c r="D65" i="5"/>
  <c r="G33" i="5"/>
  <c r="G47" i="5"/>
  <c r="G35" i="5"/>
  <c r="I35" i="5" s="1"/>
  <c r="G50" i="5"/>
  <c r="G21" i="5"/>
  <c r="G32" i="5"/>
  <c r="G49" i="5"/>
  <c r="G59" i="5"/>
  <c r="G25" i="5"/>
  <c r="G38" i="5"/>
  <c r="G62" i="5"/>
  <c r="G30" i="5"/>
  <c r="G46" i="5"/>
  <c r="G60" i="5"/>
  <c r="G26" i="5"/>
  <c r="G45" i="5"/>
  <c r="G63" i="5"/>
  <c r="I63" i="5" s="1"/>
  <c r="G31" i="5"/>
  <c r="G43" i="5"/>
  <c r="I43" i="5" s="1"/>
  <c r="G57" i="5"/>
  <c r="G23" i="5"/>
  <c r="G36" i="5"/>
  <c r="I36" i="5" s="1"/>
  <c r="G55" i="5"/>
  <c r="G28" i="5"/>
  <c r="I28" i="5" s="1"/>
  <c r="G42" i="5"/>
  <c r="G58" i="5"/>
  <c r="G19" i="5"/>
  <c r="G44" i="5"/>
  <c r="G61" i="5"/>
  <c r="G27" i="5"/>
  <c r="G41" i="5"/>
  <c r="G54" i="5"/>
  <c r="G20" i="5"/>
  <c r="G34" i="5"/>
  <c r="G52" i="5"/>
  <c r="I52" i="5" s="1"/>
  <c r="G22" i="5"/>
  <c r="G40" i="5"/>
  <c r="G51" i="5"/>
  <c r="F65" i="6"/>
  <c r="G64" i="6"/>
  <c r="E65" i="6"/>
  <c r="G37" i="6"/>
  <c r="G59" i="6"/>
  <c r="G34" i="6"/>
  <c r="G56" i="6"/>
  <c r="G20" i="6"/>
  <c r="G57" i="6"/>
  <c r="G27" i="6"/>
  <c r="G31" i="6"/>
  <c r="G41" i="6"/>
  <c r="G45" i="6"/>
  <c r="G53" i="6"/>
  <c r="G33" i="6"/>
  <c r="G55" i="6"/>
  <c r="G23" i="6"/>
  <c r="G49" i="6"/>
  <c r="G19" i="6"/>
  <c r="G51" i="6"/>
  <c r="G26" i="6"/>
  <c r="G30" i="6"/>
  <c r="G40" i="6"/>
  <c r="G44" i="6"/>
  <c r="G52" i="6"/>
  <c r="I52" i="6" s="1"/>
  <c r="G62" i="6"/>
  <c r="G25" i="6"/>
  <c r="G48" i="6"/>
  <c r="D65" i="6"/>
  <c r="G46" i="6"/>
  <c r="G18" i="6"/>
  <c r="G35" i="6"/>
  <c r="I35" i="6" s="1"/>
  <c r="G21" i="6"/>
  <c r="G29" i="6"/>
  <c r="G39" i="6"/>
  <c r="G43" i="6"/>
  <c r="I43" i="6" s="1"/>
  <c r="G50" i="6"/>
  <c r="G58" i="6"/>
  <c r="G22" i="6"/>
  <c r="G38" i="6"/>
  <c r="G63" i="6"/>
  <c r="I63" i="6" s="1"/>
  <c r="G36" i="6"/>
  <c r="I36" i="6" s="1"/>
  <c r="G60" i="6"/>
  <c r="G24" i="6"/>
  <c r="G61" i="6"/>
  <c r="G28" i="6"/>
  <c r="I28" i="6" s="1"/>
  <c r="G32" i="6"/>
  <c r="G42" i="6"/>
  <c r="G47" i="6"/>
  <c r="G54" i="6"/>
  <c r="F65" i="4"/>
  <c r="G64" i="4"/>
  <c r="D65" i="4"/>
  <c r="G33" i="4"/>
  <c r="G56" i="4"/>
  <c r="G18" i="4"/>
  <c r="G37" i="4"/>
  <c r="G53" i="4"/>
  <c r="G21" i="4"/>
  <c r="G32" i="4"/>
  <c r="G55" i="4"/>
  <c r="G23" i="4"/>
  <c r="G36" i="4"/>
  <c r="G45" i="4"/>
  <c r="G30" i="4"/>
  <c r="G50" i="4"/>
  <c r="G63" i="4"/>
  <c r="I63" i="4" s="1"/>
  <c r="G35" i="4"/>
  <c r="I35" i="4" s="1"/>
  <c r="G49" i="4"/>
  <c r="G59" i="4"/>
  <c r="G31" i="4"/>
  <c r="G52" i="4"/>
  <c r="I52" i="4" s="1"/>
  <c r="G20" i="4"/>
  <c r="G34" i="4"/>
  <c r="G44" i="4"/>
  <c r="G60" i="4"/>
  <c r="G28" i="4"/>
  <c r="G47" i="4"/>
  <c r="G61" i="4"/>
  <c r="G26" i="4"/>
  <c r="G46" i="4"/>
  <c r="G57" i="4"/>
  <c r="G27" i="4"/>
  <c r="G42" i="4"/>
  <c r="E65" i="4"/>
  <c r="G29" i="4"/>
  <c r="G40" i="4"/>
  <c r="G51" i="4"/>
  <c r="G22" i="4"/>
  <c r="G43" i="4"/>
  <c r="I43" i="4" s="1"/>
  <c r="G58" i="4"/>
  <c r="G19" i="4"/>
  <c r="G41" i="4"/>
  <c r="G54" i="4"/>
  <c r="G24" i="4"/>
  <c r="G39" i="4"/>
  <c r="G62" i="4"/>
  <c r="G25" i="4"/>
  <c r="G38" i="4"/>
  <c r="G48" i="4"/>
  <c r="F65" i="3"/>
  <c r="G64" i="3"/>
  <c r="G24" i="3"/>
  <c r="G63" i="3"/>
  <c r="I63" i="3" s="1"/>
  <c r="G22" i="3"/>
  <c r="G39" i="3"/>
  <c r="G45" i="3"/>
  <c r="G18" i="3"/>
  <c r="G36" i="3"/>
  <c r="G59" i="3"/>
  <c r="G25" i="3"/>
  <c r="G35" i="3"/>
  <c r="I35" i="3" s="1"/>
  <c r="G52" i="3"/>
  <c r="I52" i="3" s="1"/>
  <c r="G62" i="3"/>
  <c r="G31" i="3"/>
  <c r="G51" i="3"/>
  <c r="G38" i="3"/>
  <c r="G40" i="3"/>
  <c r="G34" i="3"/>
  <c r="G19" i="3"/>
  <c r="G37" i="3"/>
  <c r="G44" i="3"/>
  <c r="G60" i="3"/>
  <c r="G33" i="3"/>
  <c r="G55" i="3"/>
  <c r="G23" i="3"/>
  <c r="G32" i="3"/>
  <c r="G48" i="3"/>
  <c r="G58" i="3"/>
  <c r="G26" i="3"/>
  <c r="G47" i="3"/>
  <c r="C65" i="3"/>
  <c r="G29" i="3"/>
  <c r="G43" i="3"/>
  <c r="I43" i="3" s="1"/>
  <c r="G56" i="3"/>
  <c r="G27" i="3"/>
  <c r="G49" i="3"/>
  <c r="E65" i="3"/>
  <c r="G30" i="3"/>
  <c r="G42" i="3"/>
  <c r="G54" i="3"/>
  <c r="G20" i="3"/>
  <c r="G46" i="3"/>
  <c r="G61" i="3"/>
  <c r="G41" i="3"/>
  <c r="G50" i="3"/>
  <c r="G21" i="3"/>
  <c r="G28" i="3"/>
  <c r="G53" i="3"/>
  <c r="D65" i="3"/>
  <c r="G57" i="3"/>
  <c r="F65" i="2"/>
  <c r="G64" i="2"/>
  <c r="G58" i="2"/>
  <c r="G24" i="2"/>
  <c r="G28" i="2"/>
  <c r="G52" i="2"/>
  <c r="I52" i="2" s="1"/>
  <c r="G35" i="2"/>
  <c r="I35" i="2" s="1"/>
  <c r="G39" i="2"/>
  <c r="G57" i="2"/>
  <c r="G46" i="2"/>
  <c r="G27" i="2"/>
  <c r="G63" i="2"/>
  <c r="I63" i="2" s="1"/>
  <c r="G34" i="2"/>
  <c r="G21" i="2"/>
  <c r="G53" i="2"/>
  <c r="D65" i="2"/>
  <c r="G26" i="2"/>
  <c r="G36" i="2"/>
  <c r="G59" i="2"/>
  <c r="G23" i="2"/>
  <c r="G49" i="2"/>
  <c r="G20" i="2"/>
  <c r="G41" i="2"/>
  <c r="G45" i="2"/>
  <c r="E65" i="2"/>
  <c r="G31" i="2"/>
  <c r="G51" i="2"/>
  <c r="G25" i="2"/>
  <c r="G33" i="2"/>
  <c r="G55" i="2"/>
  <c r="G19" i="2"/>
  <c r="G38" i="2"/>
  <c r="G62" i="2"/>
  <c r="G40" i="2"/>
  <c r="G44" i="2"/>
  <c r="G61" i="2"/>
  <c r="G30" i="2"/>
  <c r="G47" i="2"/>
  <c r="G18" i="2"/>
  <c r="G60" i="2"/>
  <c r="G43" i="2"/>
  <c r="I43" i="2" s="1"/>
  <c r="G29" i="2"/>
  <c r="G54" i="2"/>
  <c r="G22" i="2"/>
  <c r="G48" i="2"/>
  <c r="G32" i="2"/>
  <c r="G56" i="2"/>
  <c r="G42" i="2"/>
  <c r="G50" i="2"/>
  <c r="G37" i="2"/>
  <c r="H62" i="1"/>
  <c r="I31" i="1"/>
  <c r="H34" i="1" s="1"/>
  <c r="H53" i="1"/>
  <c r="I53" i="1"/>
  <c r="H57" i="1" s="1"/>
  <c r="H18" i="1"/>
  <c r="I18" i="1"/>
  <c r="H61" i="1"/>
  <c r="H21" i="1"/>
  <c r="I38" i="1"/>
  <c r="H54" i="1"/>
  <c r="I44" i="1"/>
  <c r="H45" i="1" s="1"/>
  <c r="I46" i="1"/>
  <c r="H49" i="1" s="1"/>
  <c r="H56" i="1"/>
  <c r="H48" i="1"/>
  <c r="I28" i="1"/>
  <c r="I23" i="1"/>
  <c r="H60" i="1"/>
  <c r="J1" i="15"/>
  <c r="I1" i="15"/>
  <c r="H1" i="15"/>
  <c r="G1" i="15"/>
  <c r="F1" i="15"/>
  <c r="E1" i="15"/>
  <c r="D1" i="15"/>
  <c r="C1" i="15"/>
  <c r="Q1" i="9"/>
  <c r="O1" i="9"/>
  <c r="M1" i="9"/>
  <c r="K1" i="9"/>
  <c r="I1" i="9"/>
  <c r="G1" i="9"/>
  <c r="E1" i="9"/>
  <c r="C1" i="9"/>
  <c r="H32" i="1" l="1"/>
  <c r="H55" i="1"/>
  <c r="H31" i="1"/>
  <c r="H51" i="1"/>
  <c r="I38" i="5"/>
  <c r="H46" i="1"/>
  <c r="H44" i="1"/>
  <c r="H50" i="1"/>
  <c r="H58" i="1"/>
  <c r="H59" i="1"/>
  <c r="I31" i="8"/>
  <c r="H31" i="8" s="1"/>
  <c r="I44" i="8"/>
  <c r="H44" i="8" s="1"/>
  <c r="I46" i="8"/>
  <c r="H48" i="8" s="1"/>
  <c r="I18" i="8"/>
  <c r="H18" i="8" s="1"/>
  <c r="I36" i="8"/>
  <c r="I53" i="8"/>
  <c r="I38" i="8"/>
  <c r="H45" i="8"/>
  <c r="H19" i="8"/>
  <c r="I23" i="8"/>
  <c r="I31" i="7"/>
  <c r="H31" i="7" s="1"/>
  <c r="I38" i="7"/>
  <c r="I36" i="7"/>
  <c r="I46" i="7"/>
  <c r="H48" i="7" s="1"/>
  <c r="I18" i="7"/>
  <c r="H18" i="7" s="1"/>
  <c r="H19" i="7"/>
  <c r="I28" i="7"/>
  <c r="H49" i="7"/>
  <c r="I44" i="7"/>
  <c r="H45" i="7" s="1"/>
  <c r="H34" i="7"/>
  <c r="I23" i="7"/>
  <c r="I53" i="7"/>
  <c r="H33" i="7"/>
  <c r="I46" i="5"/>
  <c r="H46" i="5" s="1"/>
  <c r="I23" i="5"/>
  <c r="I31" i="5"/>
  <c r="H31" i="5" s="1"/>
  <c r="H32" i="5"/>
  <c r="I18" i="5"/>
  <c r="H44" i="5"/>
  <c r="I44" i="5"/>
  <c r="H45" i="5" s="1"/>
  <c r="H50" i="5"/>
  <c r="I53" i="5"/>
  <c r="I23" i="6"/>
  <c r="I46" i="6"/>
  <c r="H50" i="6" s="1"/>
  <c r="I53" i="6"/>
  <c r="H57" i="6" s="1"/>
  <c r="H49" i="6"/>
  <c r="I18" i="6"/>
  <c r="H21" i="6" s="1"/>
  <c r="I31" i="6"/>
  <c r="H34" i="6" s="1"/>
  <c r="H22" i="6"/>
  <c r="H33" i="6"/>
  <c r="I44" i="6"/>
  <c r="H45" i="6" s="1"/>
  <c r="I38" i="6"/>
  <c r="H51" i="6"/>
  <c r="I44" i="4"/>
  <c r="H44" i="4" s="1"/>
  <c r="I31" i="4"/>
  <c r="H31" i="4" s="1"/>
  <c r="I38" i="4"/>
  <c r="I36" i="4"/>
  <c r="I18" i="4"/>
  <c r="H18" i="4" s="1"/>
  <c r="H19" i="4"/>
  <c r="H46" i="4"/>
  <c r="I46" i="4"/>
  <c r="H47" i="4" s="1"/>
  <c r="H22" i="4"/>
  <c r="I28" i="4"/>
  <c r="H20" i="4"/>
  <c r="H49" i="4"/>
  <c r="H34" i="4"/>
  <c r="H50" i="4"/>
  <c r="I23" i="4"/>
  <c r="I53" i="4"/>
  <c r="H33" i="4"/>
  <c r="I53" i="3"/>
  <c r="H55" i="3" s="1"/>
  <c r="H44" i="3"/>
  <c r="I44" i="3"/>
  <c r="I23" i="3"/>
  <c r="H59" i="3"/>
  <c r="I46" i="3"/>
  <c r="H46" i="3" s="1"/>
  <c r="I31" i="3"/>
  <c r="H34" i="3" s="1"/>
  <c r="H49" i="3"/>
  <c r="H57" i="3"/>
  <c r="H47" i="3"/>
  <c r="H32" i="3"/>
  <c r="H60" i="3"/>
  <c r="H45" i="3"/>
  <c r="I18" i="3"/>
  <c r="I38" i="3"/>
  <c r="I36" i="3"/>
  <c r="I28" i="3"/>
  <c r="H48" i="3"/>
  <c r="H33" i="3"/>
  <c r="H19" i="3"/>
  <c r="I28" i="2"/>
  <c r="I31" i="2"/>
  <c r="H34" i="2" s="1"/>
  <c r="I46" i="2"/>
  <c r="H46" i="2" s="1"/>
  <c r="I36" i="2"/>
  <c r="I18" i="2"/>
  <c r="H20" i="2" s="1"/>
  <c r="I44" i="2"/>
  <c r="H45" i="2" s="1"/>
  <c r="I53" i="2"/>
  <c r="H62" i="2" s="1"/>
  <c r="H60" i="2"/>
  <c r="I38" i="2"/>
  <c r="I23" i="2"/>
  <c r="I64" i="1"/>
  <c r="H19" i="1"/>
  <c r="H33" i="1"/>
  <c r="H20" i="1"/>
  <c r="H47" i="1"/>
  <c r="H22" i="1"/>
  <c r="H51" i="2" l="1"/>
  <c r="H21" i="2"/>
  <c r="H51" i="3"/>
  <c r="H32" i="4"/>
  <c r="H20" i="6"/>
  <c r="H44" i="6"/>
  <c r="H19" i="6"/>
  <c r="H32" i="6"/>
  <c r="H31" i="6"/>
  <c r="H18" i="6"/>
  <c r="H50" i="7"/>
  <c r="H20" i="8"/>
  <c r="H47" i="8"/>
  <c r="I64" i="3"/>
  <c r="H50" i="3"/>
  <c r="H21" i="4"/>
  <c r="H33" i="5"/>
  <c r="H64" i="1"/>
  <c r="H47" i="2"/>
  <c r="H48" i="4"/>
  <c r="I64" i="5"/>
  <c r="H34" i="5"/>
  <c r="H44" i="7"/>
  <c r="H20" i="7"/>
  <c r="H22" i="7"/>
  <c r="H47" i="7"/>
  <c r="H46" i="7"/>
  <c r="H50" i="8"/>
  <c r="H32" i="8"/>
  <c r="I64" i="8"/>
  <c r="H33" i="8"/>
  <c r="H22" i="8"/>
  <c r="H51" i="8"/>
  <c r="H21" i="8"/>
  <c r="H34" i="8"/>
  <c r="H46" i="8"/>
  <c r="H49" i="8"/>
  <c r="H32" i="7"/>
  <c r="H51" i="7"/>
  <c r="I64" i="7"/>
  <c r="H21" i="7"/>
  <c r="H19" i="5"/>
  <c r="H20" i="5"/>
  <c r="H22" i="5"/>
  <c r="H49" i="5"/>
  <c r="H47" i="5"/>
  <c r="H48" i="5"/>
  <c r="H18" i="5"/>
  <c r="H51" i="5"/>
  <c r="H21" i="5"/>
  <c r="H59" i="6"/>
  <c r="H55" i="6"/>
  <c r="H54" i="6"/>
  <c r="H46" i="6"/>
  <c r="H47" i="6"/>
  <c r="H58" i="6"/>
  <c r="H61" i="6"/>
  <c r="H48" i="6"/>
  <c r="H56" i="6"/>
  <c r="H60" i="6"/>
  <c r="I64" i="6"/>
  <c r="H62" i="6"/>
  <c r="H53" i="6"/>
  <c r="H64" i="6" s="1"/>
  <c r="H51" i="4"/>
  <c r="H64" i="4"/>
  <c r="H45" i="4"/>
  <c r="I64" i="4"/>
  <c r="H20" i="3"/>
  <c r="H22" i="3"/>
  <c r="H31" i="3"/>
  <c r="H62" i="3"/>
  <c r="H58" i="3"/>
  <c r="H53" i="3"/>
  <c r="H18" i="3"/>
  <c r="H21" i="3"/>
  <c r="H61" i="3"/>
  <c r="H54" i="3"/>
  <c r="H56" i="3"/>
  <c r="I64" i="2"/>
  <c r="H33" i="2"/>
  <c r="H61" i="2"/>
  <c r="H59" i="2"/>
  <c r="H56" i="2"/>
  <c r="H44" i="2"/>
  <c r="H32" i="2"/>
  <c r="H31" i="2"/>
  <c r="H49" i="2"/>
  <c r="H50" i="2"/>
  <c r="H58" i="2"/>
  <c r="H54" i="2"/>
  <c r="H48" i="2"/>
  <c r="H22" i="2"/>
  <c r="H19" i="2"/>
  <c r="H53" i="2"/>
  <c r="H18" i="2"/>
  <c r="H55" i="2"/>
  <c r="H57" i="2"/>
  <c r="B2" i="15"/>
  <c r="H64" i="8" l="1"/>
  <c r="H64" i="7"/>
  <c r="H64" i="5"/>
  <c r="H64" i="3"/>
  <c r="H64" i="2"/>
  <c r="F23" i="9"/>
  <c r="F61" i="9" s="1"/>
  <c r="J23" i="9"/>
  <c r="J61" i="9" s="1"/>
  <c r="N23" i="9"/>
  <c r="N61" i="9" s="1"/>
  <c r="R23" i="9"/>
  <c r="R61" i="9" s="1"/>
  <c r="H23" i="9"/>
  <c r="H61" i="9" s="1"/>
  <c r="L23" i="9"/>
  <c r="L61" i="9" s="1"/>
  <c r="P23" i="9"/>
  <c r="P61" i="9" s="1"/>
  <c r="H12" i="9"/>
  <c r="L12" i="9"/>
  <c r="P12" i="9"/>
  <c r="H13" i="9"/>
  <c r="L13" i="9"/>
  <c r="P13" i="9"/>
  <c r="H14" i="9"/>
  <c r="L14" i="9"/>
  <c r="P14" i="9"/>
  <c r="H11" i="9"/>
  <c r="L11" i="9"/>
  <c r="P11" i="9"/>
  <c r="H15" i="9"/>
  <c r="L15" i="9"/>
  <c r="P15" i="9"/>
  <c r="H16" i="9"/>
  <c r="L16" i="9"/>
  <c r="P16" i="9"/>
  <c r="H17" i="9"/>
  <c r="L17" i="9"/>
  <c r="P17" i="9"/>
  <c r="H18" i="9"/>
  <c r="L18" i="9"/>
  <c r="P18" i="9"/>
  <c r="H27" i="9"/>
  <c r="L27" i="9"/>
  <c r="P27" i="9"/>
  <c r="H28" i="9"/>
  <c r="L28" i="9"/>
  <c r="P28" i="9"/>
  <c r="F12" i="9"/>
  <c r="J12" i="9"/>
  <c r="N12" i="9"/>
  <c r="R12" i="9"/>
  <c r="F13" i="9"/>
  <c r="J13" i="9"/>
  <c r="N13" i="9"/>
  <c r="R13" i="9"/>
  <c r="F14" i="9"/>
  <c r="J14" i="9"/>
  <c r="N14" i="9"/>
  <c r="R14" i="9"/>
  <c r="F11" i="9"/>
  <c r="J11" i="9"/>
  <c r="N11" i="9"/>
  <c r="R11" i="9"/>
  <c r="F15" i="9"/>
  <c r="J15" i="9"/>
  <c r="N15" i="9"/>
  <c r="R15" i="9"/>
  <c r="F16" i="9"/>
  <c r="J16" i="9"/>
  <c r="N16" i="9"/>
  <c r="R16" i="9"/>
  <c r="F17" i="9"/>
  <c r="J17" i="9"/>
  <c r="N17" i="9"/>
  <c r="R17" i="9"/>
  <c r="F18" i="9"/>
  <c r="J18" i="9"/>
  <c r="N18" i="9"/>
  <c r="R18" i="9"/>
  <c r="F27" i="9"/>
  <c r="J27" i="9"/>
  <c r="N27" i="9"/>
  <c r="R27" i="9"/>
  <c r="F28" i="9"/>
  <c r="J28" i="9"/>
  <c r="N28" i="9"/>
  <c r="R28" i="9"/>
  <c r="F24" i="9"/>
  <c r="H24" i="9"/>
  <c r="J24" i="9"/>
  <c r="L24" i="9"/>
  <c r="N24" i="9"/>
  <c r="P24" i="9"/>
  <c r="R24" i="9"/>
  <c r="F25" i="9"/>
  <c r="H25" i="9"/>
  <c r="J25" i="9"/>
  <c r="L25" i="9"/>
  <c r="N25" i="9"/>
  <c r="P25" i="9"/>
  <c r="R25" i="9"/>
  <c r="F26" i="9"/>
  <c r="H26" i="9"/>
  <c r="J26" i="9"/>
  <c r="L26" i="9"/>
  <c r="N26" i="9"/>
  <c r="P26" i="9"/>
  <c r="R26" i="9"/>
  <c r="F29" i="9"/>
  <c r="H29" i="9"/>
  <c r="J29" i="9"/>
  <c r="L29" i="9"/>
  <c r="N29" i="9"/>
  <c r="P29" i="9"/>
  <c r="R29" i="9"/>
  <c r="F30" i="9"/>
  <c r="H30" i="9"/>
  <c r="J30" i="9"/>
  <c r="L30" i="9"/>
  <c r="N30" i="9"/>
  <c r="P30" i="9"/>
  <c r="R30" i="9"/>
  <c r="F31" i="9"/>
  <c r="H31" i="9"/>
  <c r="H64" i="9" s="1"/>
  <c r="J31" i="9"/>
  <c r="J64" i="9" s="1"/>
  <c r="L31" i="9"/>
  <c r="L64" i="9" s="1"/>
  <c r="N31" i="9"/>
  <c r="N64" i="9" s="1"/>
  <c r="P31" i="9"/>
  <c r="P64" i="9" s="1"/>
  <c r="R31" i="9"/>
  <c r="R64" i="9" s="1"/>
  <c r="F40" i="9"/>
  <c r="H40" i="9"/>
  <c r="H67" i="9" s="1"/>
  <c r="J40" i="9"/>
  <c r="J67" i="9" s="1"/>
  <c r="L40" i="9"/>
  <c r="N40" i="9"/>
  <c r="N67" i="9" s="1"/>
  <c r="P40" i="9"/>
  <c r="P67" i="9" s="1"/>
  <c r="R40" i="9"/>
  <c r="R67" i="9" s="1"/>
  <c r="F51" i="9"/>
  <c r="F69" i="9" s="1"/>
  <c r="H51" i="9"/>
  <c r="H69" i="9" s="1"/>
  <c r="J51" i="9"/>
  <c r="J69" i="9" s="1"/>
  <c r="L51" i="9"/>
  <c r="L69" i="9" s="1"/>
  <c r="N51" i="9"/>
  <c r="N69" i="9" s="1"/>
  <c r="P51" i="9"/>
  <c r="P69" i="9" s="1"/>
  <c r="R51" i="9"/>
  <c r="R69" i="9" s="1"/>
  <c r="J2" i="15"/>
  <c r="I2" i="15"/>
  <c r="H2" i="15"/>
  <c r="F2" i="15"/>
  <c r="E2" i="15"/>
  <c r="D2" i="15"/>
  <c r="O2" i="9"/>
  <c r="M2" i="9"/>
  <c r="K3" i="9"/>
  <c r="K2" i="9"/>
  <c r="G2" i="9"/>
  <c r="E2" i="9"/>
  <c r="C2" i="9"/>
  <c r="C197" i="9"/>
  <c r="B193" i="9"/>
  <c r="B194" i="9"/>
  <c r="B195" i="9"/>
  <c r="B196" i="9"/>
  <c r="B192" i="9"/>
  <c r="B184" i="9"/>
  <c r="B183" i="9"/>
  <c r="A183" i="9"/>
  <c r="A178" i="9"/>
  <c r="A176" i="9"/>
  <c r="E53" i="9"/>
  <c r="F53" i="9"/>
  <c r="P49" i="9"/>
  <c r="P48" i="9"/>
  <c r="P50" i="9"/>
  <c r="P45" i="9"/>
  <c r="P44" i="9"/>
  <c r="P46" i="9"/>
  <c r="P47" i="9"/>
  <c r="P42" i="9"/>
  <c r="P43" i="9"/>
  <c r="P41" i="9"/>
  <c r="O3" i="9"/>
  <c r="Q3" i="9"/>
  <c r="Q2" i="9"/>
  <c r="M3" i="9"/>
  <c r="I3" i="9"/>
  <c r="I2" i="9"/>
  <c r="G3" i="9"/>
  <c r="E3" i="9"/>
  <c r="C3" i="9"/>
  <c r="J3" i="15"/>
  <c r="I3" i="15"/>
  <c r="H3" i="15"/>
  <c r="G3" i="15"/>
  <c r="F3" i="15"/>
  <c r="E3" i="15"/>
  <c r="D3" i="15"/>
  <c r="C3" i="15"/>
  <c r="G55" i="9"/>
  <c r="A181" i="9"/>
  <c r="B180" i="9"/>
  <c r="B179" i="9"/>
  <c r="B177" i="9"/>
  <c r="B176" i="9"/>
  <c r="B174" i="9"/>
  <c r="A174" i="9"/>
  <c r="A169" i="9"/>
  <c r="B168" i="9"/>
  <c r="A168" i="9"/>
  <c r="B130" i="9"/>
  <c r="B129" i="9"/>
  <c r="Q55" i="9"/>
  <c r="O55" i="9"/>
  <c r="M55" i="9"/>
  <c r="K55" i="9"/>
  <c r="I55" i="9"/>
  <c r="E55" i="9"/>
  <c r="C55" i="9"/>
  <c r="H62" i="9" l="1"/>
  <c r="R62" i="9"/>
  <c r="N59" i="9"/>
  <c r="J62" i="9"/>
  <c r="H63" i="9"/>
  <c r="U3" i="9"/>
  <c r="P58" i="9"/>
  <c r="W3" i="9"/>
  <c r="L59" i="9"/>
  <c r="R58" i="9"/>
  <c r="P68" i="9"/>
  <c r="V25" i="9"/>
  <c r="D177" i="9" s="1"/>
  <c r="V24" i="9"/>
  <c r="D176" i="9" s="1"/>
  <c r="V29" i="9"/>
  <c r="D179" i="9" s="1"/>
  <c r="F63" i="9"/>
  <c r="S3" i="9"/>
  <c r="F62" i="9"/>
  <c r="N62" i="9"/>
  <c r="L62" i="9"/>
  <c r="R59" i="9"/>
  <c r="P59" i="9"/>
  <c r="M3" i="15"/>
  <c r="P62" i="9"/>
  <c r="J58" i="9"/>
  <c r="J95" i="9"/>
  <c r="J221" i="9" s="1"/>
  <c r="J7" i="15"/>
  <c r="I95" i="9"/>
  <c r="I221" i="9" s="1"/>
  <c r="J6" i="15"/>
  <c r="V31" i="9"/>
  <c r="D181" i="9" s="1"/>
  <c r="H58" i="9"/>
  <c r="K95" i="9"/>
  <c r="L2" i="15"/>
  <c r="L63" i="9"/>
  <c r="V13" i="9"/>
  <c r="D127" i="9" s="1"/>
  <c r="V23" i="9"/>
  <c r="D144" i="9" s="1"/>
  <c r="R63" i="9"/>
  <c r="V18" i="9"/>
  <c r="D133" i="9" s="1"/>
  <c r="P63" i="9"/>
  <c r="N58" i="9"/>
  <c r="L58" i="9"/>
  <c r="L103" i="9"/>
  <c r="K103" i="9"/>
  <c r="I103" i="9"/>
  <c r="S2" i="9"/>
  <c r="W2" i="9"/>
  <c r="J103" i="9"/>
  <c r="J229" i="9" s="1"/>
  <c r="K3" i="15"/>
  <c r="L3" i="15"/>
  <c r="U2" i="9"/>
  <c r="F64" i="9"/>
  <c r="F67" i="9"/>
  <c r="V40" i="9"/>
  <c r="L95" i="9"/>
  <c r="V51" i="9"/>
  <c r="L67" i="9"/>
  <c r="V30" i="9"/>
  <c r="D180" i="9" s="1"/>
  <c r="N63" i="9"/>
  <c r="V26" i="9"/>
  <c r="V11" i="9"/>
  <c r="F58" i="9"/>
  <c r="J59" i="9"/>
  <c r="J63" i="9"/>
  <c r="V12" i="9"/>
  <c r="D126" i="9" s="1"/>
  <c r="C2" i="15"/>
  <c r="D8" i="15"/>
  <c r="J8" i="15"/>
  <c r="V28" i="9"/>
  <c r="D137" i="9" s="1"/>
  <c r="V27" i="9"/>
  <c r="D136" i="9" s="1"/>
  <c r="H59" i="9"/>
  <c r="G2" i="15"/>
  <c r="V17" i="9"/>
  <c r="D132" i="9" s="1"/>
  <c r="F59" i="9"/>
  <c r="V16" i="9"/>
  <c r="V15" i="9"/>
  <c r="D130" i="9" s="1"/>
  <c r="V14" i="9"/>
  <c r="D128" i="9" s="1"/>
  <c r="L96" i="9" l="1"/>
  <c r="J112" i="9" s="1"/>
  <c r="L222" i="9" s="1"/>
  <c r="I93" i="9"/>
  <c r="V95" i="9"/>
  <c r="V103" i="9"/>
  <c r="V62" i="9"/>
  <c r="J9" i="15"/>
  <c r="K97" i="9"/>
  <c r="K223" i="9" s="1"/>
  <c r="K96" i="9"/>
  <c r="V61" i="9"/>
  <c r="I111" i="9"/>
  <c r="V64" i="9"/>
  <c r="S95" i="9"/>
  <c r="J96" i="9"/>
  <c r="J222" i="9" s="1"/>
  <c r="I96" i="9"/>
  <c r="S96" i="9" s="1"/>
  <c r="H111" i="9"/>
  <c r="P95" i="9"/>
  <c r="D7" i="15"/>
  <c r="K221" i="9"/>
  <c r="Q95" i="9"/>
  <c r="H7" i="15"/>
  <c r="H8" i="15"/>
  <c r="C12" i="9"/>
  <c r="C28" i="9"/>
  <c r="C18" i="9"/>
  <c r="C14" i="9"/>
  <c r="D131" i="9"/>
  <c r="V59" i="9"/>
  <c r="L97" i="9"/>
  <c r="I97" i="9"/>
  <c r="L92" i="9"/>
  <c r="Z58" i="9"/>
  <c r="J92" i="9"/>
  <c r="J218" i="9" s="1"/>
  <c r="K92" i="9"/>
  <c r="I92" i="9"/>
  <c r="C25" i="9"/>
  <c r="G6" i="15"/>
  <c r="M2" i="15"/>
  <c r="K2" i="15"/>
  <c r="C30" i="9"/>
  <c r="V69" i="9"/>
  <c r="D186" i="9"/>
  <c r="S103" i="9"/>
  <c r="H119" i="9"/>
  <c r="I119" i="9"/>
  <c r="I229" i="9"/>
  <c r="P103" i="9"/>
  <c r="C27" i="9"/>
  <c r="D185" i="9"/>
  <c r="V67" i="9"/>
  <c r="C15" i="9"/>
  <c r="Q103" i="9"/>
  <c r="K229" i="9"/>
  <c r="K101" i="9"/>
  <c r="I101" i="9"/>
  <c r="L101" i="9"/>
  <c r="J101" i="9"/>
  <c r="J227" i="9" s="1"/>
  <c r="G7" i="15"/>
  <c r="D6" i="15"/>
  <c r="C17" i="9"/>
  <c r="J93" i="9"/>
  <c r="J219" i="9" s="1"/>
  <c r="K93" i="9"/>
  <c r="L93" i="9"/>
  <c r="H6" i="15"/>
  <c r="C8" i="15"/>
  <c r="F6" i="15"/>
  <c r="D129" i="9"/>
  <c r="V58" i="9"/>
  <c r="D178" i="9"/>
  <c r="V63" i="9"/>
  <c r="J111" i="9"/>
  <c r="L221" i="9" s="1"/>
  <c r="M95" i="9"/>
  <c r="C29" i="9"/>
  <c r="K98" i="9"/>
  <c r="J98" i="9"/>
  <c r="J224" i="9" s="1"/>
  <c r="I98" i="9"/>
  <c r="L98" i="9"/>
  <c r="C13" i="9"/>
  <c r="M103" i="9"/>
  <c r="J119" i="9"/>
  <c r="L229" i="9" s="1"/>
  <c r="J97" i="9"/>
  <c r="J223" i="9" s="1"/>
  <c r="H112" i="9" l="1"/>
  <c r="L6" i="15"/>
  <c r="Q97" i="9"/>
  <c r="V98" i="9"/>
  <c r="V92" i="9"/>
  <c r="V93" i="9"/>
  <c r="V101" i="9"/>
  <c r="K111" i="9"/>
  <c r="M221" i="9" s="1"/>
  <c r="K222" i="9"/>
  <c r="V96" i="9"/>
  <c r="V97" i="9"/>
  <c r="M96" i="9"/>
  <c r="P96" i="9"/>
  <c r="Q96" i="9"/>
  <c r="I112" i="9"/>
  <c r="K112" i="9" s="1"/>
  <c r="I222" i="9"/>
  <c r="H9" i="15"/>
  <c r="C6" i="15"/>
  <c r="M46" i="9"/>
  <c r="G8" i="15"/>
  <c r="G9" i="15" s="1"/>
  <c r="K119" i="9"/>
  <c r="L119" i="9" s="1"/>
  <c r="N229" i="9" s="1"/>
  <c r="K39" i="9"/>
  <c r="G6" i="9"/>
  <c r="J114" i="9"/>
  <c r="L224" i="9" s="1"/>
  <c r="M98" i="9"/>
  <c r="C7" i="9"/>
  <c r="I6" i="9"/>
  <c r="K224" i="9"/>
  <c r="Q98" i="9"/>
  <c r="C9" i="9"/>
  <c r="Q93" i="9"/>
  <c r="K219" i="9"/>
  <c r="S93" i="9"/>
  <c r="P93" i="9"/>
  <c r="I219" i="9"/>
  <c r="H109" i="9"/>
  <c r="I109" i="9"/>
  <c r="J117" i="9"/>
  <c r="L227" i="9" s="1"/>
  <c r="M101" i="9"/>
  <c r="C24" i="9"/>
  <c r="M47" i="9"/>
  <c r="I13" i="9"/>
  <c r="I29" i="9"/>
  <c r="I12" i="9"/>
  <c r="I27" i="9"/>
  <c r="I17" i="9"/>
  <c r="I28" i="9"/>
  <c r="I18" i="9"/>
  <c r="I25" i="9"/>
  <c r="I14" i="9"/>
  <c r="I30" i="9"/>
  <c r="I15" i="9"/>
  <c r="F7" i="15"/>
  <c r="L7" i="15" s="1"/>
  <c r="Q6" i="9"/>
  <c r="M30" i="9"/>
  <c r="M18" i="9"/>
  <c r="M13" i="9"/>
  <c r="M17" i="9"/>
  <c r="M25" i="9"/>
  <c r="M14" i="9"/>
  <c r="M27" i="9"/>
  <c r="M12" i="9"/>
  <c r="M28" i="9"/>
  <c r="M29" i="9"/>
  <c r="M15" i="9"/>
  <c r="I108" i="9"/>
  <c r="H108" i="9"/>
  <c r="S92" i="9"/>
  <c r="P92" i="9"/>
  <c r="I218" i="9"/>
  <c r="J108" i="9"/>
  <c r="L218" i="9" s="1"/>
  <c r="M92" i="9"/>
  <c r="C8" i="9"/>
  <c r="C48" i="9"/>
  <c r="Q13" i="9"/>
  <c r="Q27" i="9"/>
  <c r="Q15" i="9"/>
  <c r="Q14" i="9"/>
  <c r="Q17" i="9"/>
  <c r="Q18" i="9"/>
  <c r="Q29" i="9"/>
  <c r="Q30" i="9"/>
  <c r="Q12" i="9"/>
  <c r="Q28" i="9"/>
  <c r="Q25" i="9"/>
  <c r="C45" i="9"/>
  <c r="C51" i="9"/>
  <c r="C43" i="9"/>
  <c r="E6" i="15"/>
  <c r="E7" i="15"/>
  <c r="C39" i="9"/>
  <c r="C22" i="9"/>
  <c r="C20" i="9"/>
  <c r="D9" i="15"/>
  <c r="C35" i="9"/>
  <c r="C47" i="9"/>
  <c r="O28" i="9"/>
  <c r="O29" i="9"/>
  <c r="O44" i="9"/>
  <c r="O43" i="9"/>
  <c r="O13" i="9"/>
  <c r="O46" i="9"/>
  <c r="O47" i="9"/>
  <c r="O15" i="9"/>
  <c r="O48" i="9"/>
  <c r="O12" i="9"/>
  <c r="O17" i="9"/>
  <c r="O25" i="9"/>
  <c r="O50" i="9"/>
  <c r="O42" i="9"/>
  <c r="O45" i="9"/>
  <c r="O18" i="9"/>
  <c r="O27" i="9"/>
  <c r="O49" i="9"/>
  <c r="O14" i="9"/>
  <c r="O30" i="9"/>
  <c r="C44" i="9"/>
  <c r="I7" i="15"/>
  <c r="I6" i="15"/>
  <c r="I8" i="15"/>
  <c r="C10" i="9"/>
  <c r="Q92" i="9"/>
  <c r="K218" i="9"/>
  <c r="C41" i="9"/>
  <c r="C40" i="9"/>
  <c r="S98" i="9"/>
  <c r="I224" i="9"/>
  <c r="H114" i="9"/>
  <c r="P98" i="9"/>
  <c r="I114" i="9"/>
  <c r="C46" i="9"/>
  <c r="I117" i="9"/>
  <c r="H117" i="9"/>
  <c r="P101" i="9"/>
  <c r="S101" i="9"/>
  <c r="I227" i="9"/>
  <c r="G25" i="9"/>
  <c r="G15" i="9"/>
  <c r="G27" i="9"/>
  <c r="G28" i="9"/>
  <c r="G29" i="9"/>
  <c r="G12" i="9"/>
  <c r="G30" i="9"/>
  <c r="G17" i="9"/>
  <c r="G13" i="9"/>
  <c r="G14" i="9"/>
  <c r="G18" i="9"/>
  <c r="K30" i="9"/>
  <c r="K25" i="9"/>
  <c r="K28" i="9"/>
  <c r="K15" i="9"/>
  <c r="K27" i="9"/>
  <c r="K17" i="9"/>
  <c r="K12" i="9"/>
  <c r="K18" i="9"/>
  <c r="K29" i="9"/>
  <c r="K14" i="9"/>
  <c r="K13" i="9"/>
  <c r="C49" i="9"/>
  <c r="Q42" i="9"/>
  <c r="C11" i="9"/>
  <c r="C50" i="9"/>
  <c r="C23" i="9"/>
  <c r="O6" i="9"/>
  <c r="E14" i="9"/>
  <c r="E30" i="9"/>
  <c r="E17" i="9"/>
  <c r="E13" i="9"/>
  <c r="E18" i="9"/>
  <c r="E15" i="9"/>
  <c r="E29" i="9"/>
  <c r="E25" i="9"/>
  <c r="E28" i="9"/>
  <c r="E12" i="9"/>
  <c r="E27" i="9"/>
  <c r="I223" i="9"/>
  <c r="H113" i="9"/>
  <c r="S97" i="9"/>
  <c r="I113" i="9"/>
  <c r="P97" i="9"/>
  <c r="C38" i="9"/>
  <c r="C16" i="9"/>
  <c r="C34" i="9"/>
  <c r="C36" i="9"/>
  <c r="M93" i="9"/>
  <c r="J109" i="9"/>
  <c r="L219" i="9" s="1"/>
  <c r="C31" i="9"/>
  <c r="K227" i="9"/>
  <c r="Q101" i="9"/>
  <c r="C42" i="9"/>
  <c r="C21" i="9"/>
  <c r="C6" i="9"/>
  <c r="E8" i="15"/>
  <c r="C33" i="9"/>
  <c r="C7" i="15"/>
  <c r="J113" i="9"/>
  <c r="L223" i="9" s="1"/>
  <c r="M97" i="9"/>
  <c r="F8" i="15"/>
  <c r="L8" i="15" s="1"/>
  <c r="C37" i="9"/>
  <c r="C19" i="9"/>
  <c r="C26" i="9"/>
  <c r="C32" i="9"/>
  <c r="U28" i="9" l="1"/>
  <c r="K6" i="15"/>
  <c r="L111" i="9"/>
  <c r="N221" i="9" s="1"/>
  <c r="K117" i="9"/>
  <c r="L117" i="9" s="1"/>
  <c r="N227" i="9" s="1"/>
  <c r="S14" i="9"/>
  <c r="M229" i="9"/>
  <c r="U17" i="9"/>
  <c r="W17" i="9"/>
  <c r="C52" i="9"/>
  <c r="U14" i="9"/>
  <c r="W29" i="9"/>
  <c r="W15" i="9"/>
  <c r="M6" i="15"/>
  <c r="S13" i="9"/>
  <c r="U29" i="9"/>
  <c r="S18" i="9"/>
  <c r="S30" i="9"/>
  <c r="K114" i="9"/>
  <c r="L114" i="9" s="1"/>
  <c r="N224" i="9" s="1"/>
  <c r="S25" i="9"/>
  <c r="U15" i="9"/>
  <c r="U13" i="9"/>
  <c r="W28" i="9"/>
  <c r="W13" i="9"/>
  <c r="S12" i="9"/>
  <c r="W27" i="9"/>
  <c r="W25" i="9"/>
  <c r="K8" i="15"/>
  <c r="W18" i="9"/>
  <c r="W30" i="9"/>
  <c r="W14" i="9"/>
  <c r="S29" i="9"/>
  <c r="M8" i="15"/>
  <c r="J43" i="9"/>
  <c r="I41" i="9"/>
  <c r="M42" i="9"/>
  <c r="E31" i="9"/>
  <c r="E23" i="9"/>
  <c r="E24" i="9"/>
  <c r="E11" i="9"/>
  <c r="E38" i="9"/>
  <c r="F7" i="9"/>
  <c r="E6" i="9"/>
  <c r="K24" i="9"/>
  <c r="K62" i="9" s="1"/>
  <c r="K33" i="9"/>
  <c r="L39" i="9"/>
  <c r="K34" i="9"/>
  <c r="G33" i="9"/>
  <c r="H41" i="9"/>
  <c r="G41" i="9"/>
  <c r="H34" i="9"/>
  <c r="G34" i="9"/>
  <c r="G21" i="9"/>
  <c r="G40" i="9"/>
  <c r="G67" i="9" s="1"/>
  <c r="G36" i="9"/>
  <c r="F9" i="15"/>
  <c r="C68" i="9"/>
  <c r="R42" i="9"/>
  <c r="Q41" i="9"/>
  <c r="O37" i="9"/>
  <c r="O24" i="9"/>
  <c r="O62" i="9" s="1"/>
  <c r="O16" i="9"/>
  <c r="O59" i="9" s="1"/>
  <c r="O36" i="9"/>
  <c r="O8" i="9"/>
  <c r="P8" i="9"/>
  <c r="Q50" i="9"/>
  <c r="Q37" i="9"/>
  <c r="Q7" i="9"/>
  <c r="Q48" i="9"/>
  <c r="Q16" i="9"/>
  <c r="Q59" i="9" s="1"/>
  <c r="Q26" i="9"/>
  <c r="Q63" i="9" s="1"/>
  <c r="Q8" i="9"/>
  <c r="M37" i="9"/>
  <c r="M23" i="9"/>
  <c r="M61" i="9" s="1"/>
  <c r="M7" i="9"/>
  <c r="I38" i="9"/>
  <c r="I23" i="9"/>
  <c r="I61" i="9" s="1"/>
  <c r="J21" i="9"/>
  <c r="I19" i="9"/>
  <c r="J32" i="9"/>
  <c r="I32" i="9"/>
  <c r="C60" i="9"/>
  <c r="L19" i="9"/>
  <c r="K19" i="9"/>
  <c r="M7" i="15"/>
  <c r="K7" i="15"/>
  <c r="C57" i="9"/>
  <c r="Q46" i="9"/>
  <c r="C64" i="9"/>
  <c r="U27" i="9"/>
  <c r="E48" i="9"/>
  <c r="F38" i="9"/>
  <c r="E34" i="9"/>
  <c r="K20" i="9"/>
  <c r="K47" i="9"/>
  <c r="K51" i="9"/>
  <c r="K69" i="9" s="1"/>
  <c r="K45" i="9"/>
  <c r="G47" i="9"/>
  <c r="C67" i="9"/>
  <c r="Q45" i="9"/>
  <c r="E50" i="9"/>
  <c r="O22" i="9"/>
  <c r="O41" i="9"/>
  <c r="O68" i="9" s="1"/>
  <c r="O26" i="9"/>
  <c r="O63" i="9" s="1"/>
  <c r="P9" i="9"/>
  <c r="O9" i="9"/>
  <c r="R32" i="9"/>
  <c r="Q32" i="9"/>
  <c r="Q24" i="9"/>
  <c r="Q62" i="9" s="1"/>
  <c r="Q36" i="9"/>
  <c r="C63" i="9"/>
  <c r="M41" i="9"/>
  <c r="K9" i="9"/>
  <c r="S15" i="9"/>
  <c r="E46" i="9"/>
  <c r="K113" i="9"/>
  <c r="E45" i="9"/>
  <c r="E35" i="9"/>
  <c r="E33" i="9"/>
  <c r="E36" i="9"/>
  <c r="E7" i="9"/>
  <c r="E16" i="9"/>
  <c r="E26" i="9"/>
  <c r="E47" i="9"/>
  <c r="F20" i="9"/>
  <c r="E19" i="9"/>
  <c r="C61" i="9"/>
  <c r="C58" i="9"/>
  <c r="K38" i="9"/>
  <c r="K46" i="9"/>
  <c r="K8" i="9"/>
  <c r="L22" i="9"/>
  <c r="K22" i="9"/>
  <c r="K48" i="9"/>
  <c r="K37" i="9"/>
  <c r="K26" i="9"/>
  <c r="K63" i="9" s="1"/>
  <c r="K36" i="9"/>
  <c r="G42" i="9"/>
  <c r="G48" i="9"/>
  <c r="G10" i="9"/>
  <c r="G46" i="9"/>
  <c r="G22" i="9"/>
  <c r="G9" i="9"/>
  <c r="G38" i="9"/>
  <c r="G16" i="9"/>
  <c r="G59" i="9" s="1"/>
  <c r="G23" i="9"/>
  <c r="G61" i="9" s="1"/>
  <c r="O35" i="9"/>
  <c r="O38" i="9"/>
  <c r="O21" i="9"/>
  <c r="O33" i="9"/>
  <c r="O11" i="9"/>
  <c r="O58" i="9" s="1"/>
  <c r="O51" i="9"/>
  <c r="O69" i="9" s="1"/>
  <c r="O19" i="9"/>
  <c r="P20" i="9"/>
  <c r="C69" i="9"/>
  <c r="Q49" i="9"/>
  <c r="Q51" i="9"/>
  <c r="Q69" i="9" s="1"/>
  <c r="Q40" i="9"/>
  <c r="Q67" i="9" s="1"/>
  <c r="Q39" i="9"/>
  <c r="Q31" i="9"/>
  <c r="Q64" i="9" s="1"/>
  <c r="R20" i="9"/>
  <c r="Q19" i="9"/>
  <c r="Q11" i="9"/>
  <c r="Q58" i="9" s="1"/>
  <c r="K108" i="9"/>
  <c r="M20" i="9"/>
  <c r="N9" i="9"/>
  <c r="M6" i="9"/>
  <c r="M39" i="9"/>
  <c r="M22" i="9"/>
  <c r="M48" i="9"/>
  <c r="M16" i="9"/>
  <c r="M59" i="9" s="1"/>
  <c r="N37" i="9"/>
  <c r="M34" i="9"/>
  <c r="M36" i="9"/>
  <c r="M45" i="9"/>
  <c r="I11" i="9"/>
  <c r="I58" i="9" s="1"/>
  <c r="I20" i="9"/>
  <c r="I37" i="9"/>
  <c r="I7" i="9"/>
  <c r="I9" i="9"/>
  <c r="I43" i="9"/>
  <c r="I16" i="9"/>
  <c r="I59" i="9" s="1"/>
  <c r="I21" i="9"/>
  <c r="I45" i="9"/>
  <c r="I44" i="9"/>
  <c r="S27" i="9"/>
  <c r="G8" i="9"/>
  <c r="F8" i="9"/>
  <c r="E8" i="9"/>
  <c r="E39" i="9"/>
  <c r="E22" i="9"/>
  <c r="K7" i="9"/>
  <c r="K10" i="9"/>
  <c r="L21" i="9"/>
  <c r="K21" i="9"/>
  <c r="K40" i="9"/>
  <c r="K67" i="9" s="1"/>
  <c r="K43" i="9"/>
  <c r="G24" i="9"/>
  <c r="G62" i="9" s="1"/>
  <c r="G39" i="9"/>
  <c r="G45" i="9"/>
  <c r="G49" i="9"/>
  <c r="O39" i="9"/>
  <c r="P10" i="9"/>
  <c r="O10" i="9"/>
  <c r="Q35" i="9"/>
  <c r="Q33" i="9"/>
  <c r="R37" i="9"/>
  <c r="Q34" i="9"/>
  <c r="M33" i="9"/>
  <c r="M24" i="9"/>
  <c r="M62" i="9" s="1"/>
  <c r="M21" i="9"/>
  <c r="M44" i="9"/>
  <c r="I10" i="9"/>
  <c r="I47" i="9"/>
  <c r="I35" i="9"/>
  <c r="I33" i="9"/>
  <c r="I24" i="9"/>
  <c r="I62" i="9" s="1"/>
  <c r="W12" i="9"/>
  <c r="F48" i="9"/>
  <c r="E41" i="9"/>
  <c r="E37" i="9"/>
  <c r="E40" i="9"/>
  <c r="U25" i="9"/>
  <c r="F32" i="9"/>
  <c r="E32" i="9"/>
  <c r="F44" i="9"/>
  <c r="E44" i="9"/>
  <c r="L43" i="9"/>
  <c r="K41" i="9"/>
  <c r="G50" i="9"/>
  <c r="G20" i="9"/>
  <c r="G37" i="9"/>
  <c r="G7" i="9"/>
  <c r="G51" i="9"/>
  <c r="G69" i="9" s="1"/>
  <c r="P7" i="9"/>
  <c r="O7" i="9"/>
  <c r="O23" i="9"/>
  <c r="O61" i="9" s="1"/>
  <c r="O40" i="9"/>
  <c r="O67" i="9" s="1"/>
  <c r="Q43" i="9"/>
  <c r="Q47" i="9"/>
  <c r="Q20" i="9"/>
  <c r="M8" i="9"/>
  <c r="M40" i="9"/>
  <c r="M67" i="9" s="1"/>
  <c r="M26" i="9"/>
  <c r="M63" i="9" s="1"/>
  <c r="M31" i="9"/>
  <c r="M64" i="9" s="1"/>
  <c r="M43" i="9"/>
  <c r="M19" i="9"/>
  <c r="N20" i="9"/>
  <c r="R7" i="9"/>
  <c r="I36" i="9"/>
  <c r="I51" i="9"/>
  <c r="I69" i="9" s="1"/>
  <c r="I39" i="9"/>
  <c r="I40" i="9"/>
  <c r="I67" i="9" s="1"/>
  <c r="J36" i="9"/>
  <c r="I34" i="9"/>
  <c r="I26" i="9"/>
  <c r="I63" i="9" s="1"/>
  <c r="I48" i="9"/>
  <c r="C62" i="9"/>
  <c r="E42" i="9"/>
  <c r="S17" i="9"/>
  <c r="K109" i="9"/>
  <c r="H10" i="9"/>
  <c r="C65" i="9"/>
  <c r="M222" i="9"/>
  <c r="L112" i="9"/>
  <c r="N222" i="9" s="1"/>
  <c r="M50" i="9"/>
  <c r="K44" i="9"/>
  <c r="C66" i="9"/>
  <c r="C59" i="9"/>
  <c r="K42" i="9"/>
  <c r="E43" i="9"/>
  <c r="F10" i="9"/>
  <c r="E10" i="9"/>
  <c r="U12" i="9"/>
  <c r="E20" i="9"/>
  <c r="F49" i="9"/>
  <c r="E49" i="9"/>
  <c r="U18" i="9"/>
  <c r="U30" i="9"/>
  <c r="E9" i="9"/>
  <c r="F9" i="9"/>
  <c r="E21" i="9"/>
  <c r="K35" i="9"/>
  <c r="K49" i="9"/>
  <c r="K31" i="9"/>
  <c r="K64" i="9" s="1"/>
  <c r="K11" i="9"/>
  <c r="K58" i="9" s="1"/>
  <c r="K23" i="9"/>
  <c r="K61" i="9" s="1"/>
  <c r="L8" i="9"/>
  <c r="K6" i="9"/>
  <c r="K16" i="9"/>
  <c r="K59" i="9" s="1"/>
  <c r="L32" i="9"/>
  <c r="K32" i="9"/>
  <c r="G44" i="9"/>
  <c r="G43" i="9"/>
  <c r="G32" i="9"/>
  <c r="G65" i="9" s="1"/>
  <c r="H32" i="9"/>
  <c r="G26" i="9"/>
  <c r="G63" i="9" s="1"/>
  <c r="G11" i="9"/>
  <c r="G58" i="9" s="1"/>
  <c r="H35" i="9"/>
  <c r="G35" i="9"/>
  <c r="G31" i="9"/>
  <c r="G64" i="9" s="1"/>
  <c r="H20" i="9"/>
  <c r="G19" i="9"/>
  <c r="S28" i="9"/>
  <c r="I9" i="15"/>
  <c r="O20" i="9"/>
  <c r="P36" i="9"/>
  <c r="O34" i="9"/>
  <c r="O31" i="9"/>
  <c r="O64" i="9" s="1"/>
  <c r="O32" i="9"/>
  <c r="O65" i="9" s="1"/>
  <c r="P33" i="9"/>
  <c r="L9" i="15"/>
  <c r="C9" i="15"/>
  <c r="E9" i="15"/>
  <c r="R10" i="9"/>
  <c r="Q10" i="9"/>
  <c r="R21" i="9"/>
  <c r="Q21" i="9"/>
  <c r="R9" i="9"/>
  <c r="Q9" i="9"/>
  <c r="Q23" i="9"/>
  <c r="Q61" i="9" s="1"/>
  <c r="R22" i="9"/>
  <c r="Q22" i="9"/>
  <c r="Q38" i="9"/>
  <c r="R44" i="9"/>
  <c r="Q44" i="9"/>
  <c r="M49" i="9"/>
  <c r="M10" i="9"/>
  <c r="M35" i="9"/>
  <c r="M51" i="9"/>
  <c r="M69" i="9" s="1"/>
  <c r="M11" i="9"/>
  <c r="M58" i="9" s="1"/>
  <c r="M38" i="9"/>
  <c r="N33" i="9"/>
  <c r="M32" i="9"/>
  <c r="M9" i="9"/>
  <c r="I31" i="9"/>
  <c r="I64" i="9" s="1"/>
  <c r="I8" i="9"/>
  <c r="I46" i="9"/>
  <c r="I49" i="9"/>
  <c r="J22" i="9"/>
  <c r="I22" i="9"/>
  <c r="I42" i="9"/>
  <c r="J50" i="9"/>
  <c r="I50" i="9"/>
  <c r="E51" i="9"/>
  <c r="L50" i="9"/>
  <c r="K50" i="9"/>
  <c r="J9" i="9"/>
  <c r="W48" i="9" l="1"/>
  <c r="W19" i="9"/>
  <c r="W42" i="9"/>
  <c r="W46" i="9"/>
  <c r="W47" i="9"/>
  <c r="M227" i="9"/>
  <c r="N6" i="15"/>
  <c r="W8" i="9"/>
  <c r="S24" i="9"/>
  <c r="S62" i="9" s="1"/>
  <c r="Q57" i="9"/>
  <c r="O52" i="9"/>
  <c r="W39" i="9"/>
  <c r="M224" i="9"/>
  <c r="Y14" i="9"/>
  <c r="S7" i="9"/>
  <c r="Y13" i="9"/>
  <c r="E52" i="9"/>
  <c r="L36" i="9"/>
  <c r="L20" i="9"/>
  <c r="G52" i="9"/>
  <c r="K65" i="9"/>
  <c r="K52" i="9"/>
  <c r="F41" i="9"/>
  <c r="L10" i="9"/>
  <c r="S22" i="9"/>
  <c r="W9" i="9"/>
  <c r="N7" i="15"/>
  <c r="J38" i="9"/>
  <c r="N8" i="15"/>
  <c r="Y30" i="9"/>
  <c r="Y27" i="9"/>
  <c r="Y28" i="9"/>
  <c r="Y15" i="9"/>
  <c r="Y17" i="9"/>
  <c r="I52" i="9"/>
  <c r="Y29" i="9"/>
  <c r="Q52" i="9"/>
  <c r="L37" i="9"/>
  <c r="K9" i="15"/>
  <c r="O57" i="9"/>
  <c r="Y25" i="9"/>
  <c r="N32" i="9"/>
  <c r="V32" i="9" s="1"/>
  <c r="F43" i="9"/>
  <c r="F42" i="9"/>
  <c r="M60" i="9"/>
  <c r="Y12" i="9"/>
  <c r="W49" i="9"/>
  <c r="M52" i="9"/>
  <c r="W33" i="9"/>
  <c r="Y18" i="9"/>
  <c r="J46" i="9"/>
  <c r="F37" i="9"/>
  <c r="R34" i="9"/>
  <c r="J45" i="9"/>
  <c r="S50" i="9"/>
  <c r="F34" i="9"/>
  <c r="W21" i="9"/>
  <c r="J41" i="9"/>
  <c r="P34" i="9"/>
  <c r="W35" i="9"/>
  <c r="J48" i="9"/>
  <c r="G57" i="9"/>
  <c r="J47" i="9"/>
  <c r="R33" i="9"/>
  <c r="R65" i="9" s="1"/>
  <c r="J44" i="9"/>
  <c r="R49" i="9"/>
  <c r="L38" i="9"/>
  <c r="F45" i="9"/>
  <c r="F46" i="9"/>
  <c r="P37" i="9"/>
  <c r="L34" i="9"/>
  <c r="L33" i="9"/>
  <c r="L65" i="9" s="1"/>
  <c r="S37" i="9"/>
  <c r="R35" i="9"/>
  <c r="F35" i="9"/>
  <c r="J42" i="9"/>
  <c r="J49" i="9"/>
  <c r="M65" i="9"/>
  <c r="N38" i="9"/>
  <c r="R38" i="9"/>
  <c r="I66" i="9"/>
  <c r="W50" i="9"/>
  <c r="W45" i="9"/>
  <c r="F39" i="9"/>
  <c r="F36" i="9"/>
  <c r="P32" i="9"/>
  <c r="P65" i="9" s="1"/>
  <c r="S20" i="9"/>
  <c r="W22" i="9"/>
  <c r="R8" i="9"/>
  <c r="S42" i="9"/>
  <c r="L35" i="9"/>
  <c r="S36" i="9"/>
  <c r="N19" i="9"/>
  <c r="R47" i="9"/>
  <c r="H7" i="9"/>
  <c r="S47" i="9"/>
  <c r="I57" i="9"/>
  <c r="R19" i="9"/>
  <c r="R60" i="9" s="1"/>
  <c r="R39" i="9"/>
  <c r="P38" i="9"/>
  <c r="W38" i="9"/>
  <c r="W36" i="9"/>
  <c r="W37" i="9"/>
  <c r="S26" i="9"/>
  <c r="S63" i="9" s="1"/>
  <c r="F50" i="9"/>
  <c r="R46" i="9"/>
  <c r="M9" i="15"/>
  <c r="G66" i="9"/>
  <c r="S10" i="9"/>
  <c r="W44" i="9"/>
  <c r="F33" i="9"/>
  <c r="F65" i="9" s="1"/>
  <c r="S35" i="9"/>
  <c r="W43" i="9"/>
  <c r="U9" i="9"/>
  <c r="L42" i="9"/>
  <c r="L44" i="9"/>
  <c r="R43" i="9"/>
  <c r="W20" i="9"/>
  <c r="W10" i="9"/>
  <c r="S44" i="9"/>
  <c r="J20" i="9"/>
  <c r="V20" i="9" s="1"/>
  <c r="D174" i="9" s="1"/>
  <c r="N22" i="9"/>
  <c r="W51" i="9"/>
  <c r="H9" i="9"/>
  <c r="S48" i="9"/>
  <c r="S11" i="9"/>
  <c r="S58" i="9" s="1"/>
  <c r="R45" i="9"/>
  <c r="S8" i="9"/>
  <c r="W32" i="9"/>
  <c r="L109" i="9"/>
  <c r="N219" i="9" s="1"/>
  <c r="M219" i="9"/>
  <c r="U39" i="9"/>
  <c r="Q60" i="9"/>
  <c r="S23" i="9"/>
  <c r="S61" i="9" s="1"/>
  <c r="U7" i="9"/>
  <c r="U45" i="9"/>
  <c r="U46" i="9"/>
  <c r="N46" i="9"/>
  <c r="N47" i="9"/>
  <c r="S40" i="9"/>
  <c r="S67" i="9" s="1"/>
  <c r="S31" i="9"/>
  <c r="S64" i="9" s="1"/>
  <c r="C70" i="9"/>
  <c r="S43" i="9"/>
  <c r="U38" i="9"/>
  <c r="E69" i="9"/>
  <c r="U51" i="9"/>
  <c r="U69" i="9" s="1"/>
  <c r="S45" i="9"/>
  <c r="O66" i="9"/>
  <c r="H43" i="9"/>
  <c r="S34" i="9"/>
  <c r="S32" i="9"/>
  <c r="W24" i="9"/>
  <c r="E65" i="9"/>
  <c r="U32" i="9"/>
  <c r="E68" i="9"/>
  <c r="U41" i="9"/>
  <c r="H46" i="9"/>
  <c r="L46" i="9"/>
  <c r="W23" i="9"/>
  <c r="F19" i="9"/>
  <c r="P22" i="9"/>
  <c r="L45" i="9"/>
  <c r="W31" i="9"/>
  <c r="W7" i="9"/>
  <c r="J8" i="9"/>
  <c r="N49" i="9"/>
  <c r="H19" i="9"/>
  <c r="H44" i="9"/>
  <c r="L6" i="9"/>
  <c r="L49" i="9"/>
  <c r="V9" i="9"/>
  <c r="D172" i="9" s="1"/>
  <c r="U49" i="9"/>
  <c r="S16" i="9"/>
  <c r="S59" i="9" s="1"/>
  <c r="W34" i="9"/>
  <c r="N50" i="9"/>
  <c r="J34" i="9"/>
  <c r="N43" i="9"/>
  <c r="N8" i="9"/>
  <c r="H37" i="9"/>
  <c r="H50" i="9"/>
  <c r="U44" i="9"/>
  <c r="U37" i="9"/>
  <c r="J35" i="9"/>
  <c r="J10" i="9"/>
  <c r="N21" i="9"/>
  <c r="P39" i="9"/>
  <c r="S46" i="9"/>
  <c r="H49" i="9"/>
  <c r="H39" i="9"/>
  <c r="L7" i="9"/>
  <c r="F22" i="9"/>
  <c r="S9" i="9"/>
  <c r="J37" i="9"/>
  <c r="N36" i="9"/>
  <c r="M57" i="9"/>
  <c r="S51" i="9"/>
  <c r="S69" i="9" s="1"/>
  <c r="P19" i="9"/>
  <c r="P21" i="9"/>
  <c r="P35" i="9"/>
  <c r="H38" i="9"/>
  <c r="H22" i="9"/>
  <c r="H42" i="9"/>
  <c r="L48" i="9"/>
  <c r="U19" i="9"/>
  <c r="E60" i="9"/>
  <c r="F47" i="9"/>
  <c r="M68" i="9"/>
  <c r="U50" i="9"/>
  <c r="W40" i="9"/>
  <c r="H47" i="9"/>
  <c r="L60" i="9"/>
  <c r="I65" i="9"/>
  <c r="J19" i="9"/>
  <c r="H36" i="9"/>
  <c r="H21" i="9"/>
  <c r="G68" i="9"/>
  <c r="H33" i="9"/>
  <c r="S49" i="9"/>
  <c r="U11" i="9"/>
  <c r="U58" i="9" s="1"/>
  <c r="E58" i="9"/>
  <c r="U10" i="9"/>
  <c r="K68" i="9"/>
  <c r="M66" i="9"/>
  <c r="L108" i="9"/>
  <c r="N218" i="9" s="1"/>
  <c r="M218" i="9"/>
  <c r="U26" i="9"/>
  <c r="U63" i="9" s="1"/>
  <c r="E63" i="9"/>
  <c r="U33" i="9"/>
  <c r="P6" i="9"/>
  <c r="N10" i="9"/>
  <c r="K57" i="9"/>
  <c r="U21" i="9"/>
  <c r="U20" i="9"/>
  <c r="J39" i="9"/>
  <c r="E67" i="9"/>
  <c r="U40" i="9"/>
  <c r="U67" i="9" s="1"/>
  <c r="J33" i="9"/>
  <c r="N44" i="9"/>
  <c r="H45" i="9"/>
  <c r="J7" i="9"/>
  <c r="N45" i="9"/>
  <c r="H48" i="9"/>
  <c r="N41" i="9"/>
  <c r="Q65" i="9"/>
  <c r="L47" i="9"/>
  <c r="U48" i="9"/>
  <c r="S6" i="9"/>
  <c r="S33" i="9"/>
  <c r="K60" i="9"/>
  <c r="S19" i="9"/>
  <c r="Q68" i="9"/>
  <c r="S41" i="9"/>
  <c r="K66" i="9"/>
  <c r="E57" i="9"/>
  <c r="U6" i="9"/>
  <c r="E62" i="9"/>
  <c r="U24" i="9"/>
  <c r="U62" i="9" s="1"/>
  <c r="E64" i="9"/>
  <c r="U31" i="9"/>
  <c r="U64" i="9" s="1"/>
  <c r="N42" i="9"/>
  <c r="N35" i="9"/>
  <c r="G60" i="9"/>
  <c r="F21" i="9"/>
  <c r="U43" i="9"/>
  <c r="W16" i="9"/>
  <c r="U42" i="9"/>
  <c r="S39" i="9"/>
  <c r="L41" i="9"/>
  <c r="S21" i="9"/>
  <c r="Q66" i="9"/>
  <c r="U22" i="9"/>
  <c r="U8" i="9"/>
  <c r="H8" i="9"/>
  <c r="N34" i="9"/>
  <c r="N48" i="9"/>
  <c r="N39" i="9"/>
  <c r="O60" i="9"/>
  <c r="W11" i="9"/>
  <c r="U47" i="9"/>
  <c r="E59" i="9"/>
  <c r="U16" i="9"/>
  <c r="U59" i="9" s="1"/>
  <c r="U36" i="9"/>
  <c r="U35" i="9"/>
  <c r="L113" i="9"/>
  <c r="N223" i="9" s="1"/>
  <c r="M223" i="9"/>
  <c r="L9" i="9"/>
  <c r="W26" i="9"/>
  <c r="R36" i="9"/>
  <c r="E66" i="9"/>
  <c r="U34" i="9"/>
  <c r="W6" i="9"/>
  <c r="I60" i="9"/>
  <c r="N7" i="9"/>
  <c r="R48" i="9"/>
  <c r="R50" i="9"/>
  <c r="R41" i="9"/>
  <c r="W41" i="9"/>
  <c r="U23" i="9"/>
  <c r="U61" i="9" s="1"/>
  <c r="E61" i="9"/>
  <c r="S38" i="9"/>
  <c r="I68" i="9"/>
  <c r="V37" i="9" l="1"/>
  <c r="D141" i="9" s="1"/>
  <c r="D31" i="9"/>
  <c r="D51" i="9"/>
  <c r="D40" i="9"/>
  <c r="Y48" i="9"/>
  <c r="V43" i="9"/>
  <c r="D147" i="9" s="1"/>
  <c r="Y47" i="9"/>
  <c r="L66" i="9"/>
  <c r="V42" i="9"/>
  <c r="D146" i="9" s="1"/>
  <c r="Y7" i="9"/>
  <c r="J68" i="9"/>
  <c r="Y8" i="9"/>
  <c r="Y20" i="9"/>
  <c r="Y50" i="9"/>
  <c r="Y42" i="9"/>
  <c r="Y10" i="9"/>
  <c r="Y19" i="9"/>
  <c r="Y39" i="9"/>
  <c r="Y46" i="9"/>
  <c r="Y33" i="9"/>
  <c r="W63" i="9"/>
  <c r="Y26" i="9"/>
  <c r="S60" i="9"/>
  <c r="W62" i="9"/>
  <c r="Y24" i="9"/>
  <c r="W69" i="9"/>
  <c r="Y51" i="9"/>
  <c r="W61" i="9"/>
  <c r="Y23" i="9"/>
  <c r="Y37" i="9"/>
  <c r="Y9" i="9"/>
  <c r="W68" i="9"/>
  <c r="Y41" i="9"/>
  <c r="W58" i="9"/>
  <c r="Y11" i="9"/>
  <c r="U52" i="9"/>
  <c r="S52" i="9"/>
  <c r="V10" i="9"/>
  <c r="D173" i="9" s="1"/>
  <c r="V8" i="9"/>
  <c r="D171" i="9" s="1"/>
  <c r="W65" i="9"/>
  <c r="Y32" i="9"/>
  <c r="Y38" i="9"/>
  <c r="Y45" i="9"/>
  <c r="V38" i="9"/>
  <c r="D183" i="9" s="1"/>
  <c r="Y35" i="9"/>
  <c r="F66" i="9"/>
  <c r="Y6" i="9"/>
  <c r="W52" i="9"/>
  <c r="P57" i="9"/>
  <c r="P52" i="9"/>
  <c r="Y34" i="9"/>
  <c r="W64" i="9"/>
  <c r="Y31" i="9"/>
  <c r="W59" i="9"/>
  <c r="Y16" i="9"/>
  <c r="W67" i="9"/>
  <c r="Y40" i="9"/>
  <c r="N60" i="9"/>
  <c r="L52" i="9"/>
  <c r="N65" i="9"/>
  <c r="Y43" i="9"/>
  <c r="Y44" i="9"/>
  <c r="Y36" i="9"/>
  <c r="Y22" i="9"/>
  <c r="W60" i="9"/>
  <c r="Y21" i="9"/>
  <c r="Y49" i="9"/>
  <c r="R66" i="9"/>
  <c r="Q70" i="9"/>
  <c r="V50" i="9"/>
  <c r="D154" i="9" s="1"/>
  <c r="S68" i="9"/>
  <c r="V45" i="9"/>
  <c r="D149" i="9" s="1"/>
  <c r="V33" i="9"/>
  <c r="D182" i="9" s="1"/>
  <c r="V47" i="9"/>
  <c r="D151" i="9" s="1"/>
  <c r="V49" i="9"/>
  <c r="D153" i="9" s="1"/>
  <c r="O70" i="9"/>
  <c r="V44" i="9"/>
  <c r="D148" i="9" s="1"/>
  <c r="V39" i="9"/>
  <c r="D184" i="9" s="1"/>
  <c r="N66" i="9"/>
  <c r="H68" i="9"/>
  <c r="J65" i="9"/>
  <c r="G70" i="9"/>
  <c r="V7" i="9"/>
  <c r="D170" i="9" s="1"/>
  <c r="J60" i="9"/>
  <c r="F68" i="9"/>
  <c r="V46" i="9"/>
  <c r="D150" i="9" s="1"/>
  <c r="R68" i="9"/>
  <c r="I70" i="9"/>
  <c r="V48" i="9"/>
  <c r="D152" i="9" s="1"/>
  <c r="V21" i="9"/>
  <c r="D135" i="9" s="1"/>
  <c r="U57" i="9"/>
  <c r="V41" i="9"/>
  <c r="D145" i="9" s="1"/>
  <c r="P66" i="9"/>
  <c r="W66" i="9"/>
  <c r="S66" i="9"/>
  <c r="S57" i="9"/>
  <c r="H60" i="9"/>
  <c r="E70" i="9"/>
  <c r="F6" i="9"/>
  <c r="F52" i="9" s="1"/>
  <c r="U66" i="9"/>
  <c r="L68" i="9"/>
  <c r="R6" i="9"/>
  <c r="N6" i="9"/>
  <c r="V35" i="9"/>
  <c r="D139" i="9" s="1"/>
  <c r="U60" i="9"/>
  <c r="V22" i="9"/>
  <c r="D175" i="9" s="1"/>
  <c r="U65" i="9"/>
  <c r="S65" i="9"/>
  <c r="H66" i="9"/>
  <c r="N68" i="9"/>
  <c r="J6" i="9"/>
  <c r="V36" i="9"/>
  <c r="D140" i="9" s="1"/>
  <c r="J66" i="9"/>
  <c r="W57" i="9"/>
  <c r="U68" i="9"/>
  <c r="H6" i="9"/>
  <c r="K70" i="9"/>
  <c r="V34" i="9"/>
  <c r="P60" i="9"/>
  <c r="M70" i="9"/>
  <c r="L57" i="9"/>
  <c r="V19" i="9"/>
  <c r="F60" i="9"/>
  <c r="D142" i="9"/>
  <c r="H65" i="9"/>
  <c r="AB40" i="9" l="1"/>
  <c r="AA40" i="9"/>
  <c r="AA31" i="9"/>
  <c r="AB31" i="9"/>
  <c r="AB51" i="9"/>
  <c r="AA51" i="9"/>
  <c r="J99" i="9"/>
  <c r="J225" i="9" s="1"/>
  <c r="L99" i="9"/>
  <c r="J115" i="9" s="1"/>
  <c r="L225" i="9" s="1"/>
  <c r="D13" i="9"/>
  <c r="D18" i="9"/>
  <c r="D29" i="9"/>
  <c r="D8" i="9"/>
  <c r="D9" i="9"/>
  <c r="D10" i="9"/>
  <c r="D7" i="9"/>
  <c r="D67" i="9"/>
  <c r="T40" i="9"/>
  <c r="X40" i="9"/>
  <c r="D22" i="9"/>
  <c r="D19" i="9"/>
  <c r="D21" i="9"/>
  <c r="D20" i="9"/>
  <c r="D69" i="9"/>
  <c r="X51" i="9"/>
  <c r="T51" i="9"/>
  <c r="D43" i="9"/>
  <c r="D49" i="9"/>
  <c r="D48" i="9"/>
  <c r="D42" i="9"/>
  <c r="D45" i="9"/>
  <c r="D47" i="9"/>
  <c r="D50" i="9"/>
  <c r="D44" i="9"/>
  <c r="D41" i="9"/>
  <c r="D46" i="9"/>
  <c r="D14" i="9"/>
  <c r="D32" i="9"/>
  <c r="D33" i="9"/>
  <c r="D12" i="9"/>
  <c r="D34" i="9"/>
  <c r="D38" i="9"/>
  <c r="D36" i="9"/>
  <c r="D35" i="9"/>
  <c r="D37" i="9"/>
  <c r="D39" i="9"/>
  <c r="D64" i="9"/>
  <c r="T31" i="9"/>
  <c r="X31" i="9"/>
  <c r="D16" i="9"/>
  <c r="D30" i="9"/>
  <c r="D15" i="9"/>
  <c r="D11" i="9"/>
  <c r="D24" i="9"/>
  <c r="D28" i="9"/>
  <c r="D17" i="9"/>
  <c r="D25" i="9"/>
  <c r="D26" i="9"/>
  <c r="D23" i="9"/>
  <c r="D27" i="9"/>
  <c r="I102" i="9"/>
  <c r="I228" i="9" s="1"/>
  <c r="H57" i="9"/>
  <c r="H70" i="9" s="1"/>
  <c r="H52" i="9"/>
  <c r="R57" i="9"/>
  <c r="R52" i="9"/>
  <c r="I99" i="9"/>
  <c r="U70" i="9"/>
  <c r="K99" i="9"/>
  <c r="K100" i="9"/>
  <c r="J57" i="9"/>
  <c r="J70" i="9" s="1"/>
  <c r="J52" i="9"/>
  <c r="N57" i="9"/>
  <c r="N52" i="9"/>
  <c r="Y52" i="9"/>
  <c r="V65" i="9"/>
  <c r="W70" i="9"/>
  <c r="D155" i="9"/>
  <c r="J102" i="9"/>
  <c r="J228" i="9" s="1"/>
  <c r="V68" i="9"/>
  <c r="N70" i="9"/>
  <c r="L102" i="9"/>
  <c r="I118" i="9" s="1"/>
  <c r="L70" i="9"/>
  <c r="K102" i="9"/>
  <c r="L100" i="9"/>
  <c r="J116" i="9" s="1"/>
  <c r="L226" i="9" s="1"/>
  <c r="J100" i="9"/>
  <c r="J226" i="9" s="1"/>
  <c r="R70" i="9"/>
  <c r="S70" i="9"/>
  <c r="K94" i="9"/>
  <c r="J94" i="9"/>
  <c r="J220" i="9" s="1"/>
  <c r="I94" i="9"/>
  <c r="L94" i="9"/>
  <c r="V6" i="9"/>
  <c r="V52" i="9" s="1"/>
  <c r="F57" i="9"/>
  <c r="D138" i="9"/>
  <c r="V66" i="9"/>
  <c r="P70" i="9"/>
  <c r="I100" i="9"/>
  <c r="D134" i="9"/>
  <c r="V60" i="9"/>
  <c r="AB23" i="9" l="1"/>
  <c r="AA23" i="9"/>
  <c r="AB25" i="9"/>
  <c r="AA25" i="9"/>
  <c r="AA28" i="9"/>
  <c r="AB28" i="9"/>
  <c r="AA11" i="9"/>
  <c r="AB11" i="9"/>
  <c r="AB30" i="9"/>
  <c r="AA30" i="9"/>
  <c r="AA37" i="9"/>
  <c r="AB37" i="9"/>
  <c r="AB36" i="9"/>
  <c r="AA36" i="9"/>
  <c r="AB34" i="9"/>
  <c r="AA34" i="9"/>
  <c r="AA33" i="9"/>
  <c r="AB33" i="9"/>
  <c r="AA14" i="9"/>
  <c r="AB14" i="9"/>
  <c r="AB41" i="9"/>
  <c r="AA41" i="9"/>
  <c r="AA50" i="9"/>
  <c r="AB50" i="9"/>
  <c r="AA45" i="9"/>
  <c r="AB45" i="9"/>
  <c r="AB48" i="9"/>
  <c r="AA48" i="9"/>
  <c r="AA43" i="9"/>
  <c r="AB43" i="9"/>
  <c r="AA20" i="9"/>
  <c r="AB20" i="9"/>
  <c r="AB19" i="9"/>
  <c r="AA19" i="9"/>
  <c r="AA10" i="9"/>
  <c r="AB10" i="9"/>
  <c r="AA8" i="9"/>
  <c r="AB8" i="9"/>
  <c r="AA18" i="9"/>
  <c r="AB18" i="9"/>
  <c r="AB27" i="9"/>
  <c r="AA27" i="9"/>
  <c r="AA26" i="9"/>
  <c r="AB26" i="9"/>
  <c r="AB17" i="9"/>
  <c r="AA17" i="9"/>
  <c r="AA24" i="9"/>
  <c r="AB24" i="9"/>
  <c r="AB15" i="9"/>
  <c r="AA15" i="9"/>
  <c r="AA16" i="9"/>
  <c r="AB16" i="9"/>
  <c r="AA39" i="9"/>
  <c r="AB39" i="9"/>
  <c r="AA35" i="9"/>
  <c r="AB35" i="9"/>
  <c r="AB38" i="9"/>
  <c r="AA38" i="9"/>
  <c r="AA12" i="9"/>
  <c r="AB12" i="9"/>
  <c r="AB32" i="9"/>
  <c r="AA32" i="9"/>
  <c r="AB46" i="9"/>
  <c r="AA46" i="9"/>
  <c r="AB44" i="9"/>
  <c r="AA44" i="9"/>
  <c r="AA47" i="9"/>
  <c r="AB47" i="9"/>
  <c r="AA42" i="9"/>
  <c r="AB42" i="9"/>
  <c r="AA49" i="9"/>
  <c r="AB49" i="9"/>
  <c r="AB21" i="9"/>
  <c r="AA21" i="9"/>
  <c r="AA22" i="9"/>
  <c r="AB22" i="9"/>
  <c r="AA7" i="9"/>
  <c r="AB7" i="9"/>
  <c r="AA9" i="9"/>
  <c r="AB9" i="9"/>
  <c r="AB29" i="9"/>
  <c r="AA29" i="9"/>
  <c r="AA13" i="9"/>
  <c r="AB13" i="9"/>
  <c r="S102" i="9"/>
  <c r="J118" i="9"/>
  <c r="L228" i="9" s="1"/>
  <c r="I115" i="9"/>
  <c r="Q102" i="9"/>
  <c r="K226" i="9"/>
  <c r="V100" i="9"/>
  <c r="H118" i="9"/>
  <c r="K118" i="9" s="1"/>
  <c r="M228" i="9" s="1"/>
  <c r="K228" i="9"/>
  <c r="V102" i="9"/>
  <c r="K225" i="9"/>
  <c r="V99" i="9"/>
  <c r="H115" i="9"/>
  <c r="V94" i="9"/>
  <c r="T27" i="9"/>
  <c r="C136" i="9" s="1"/>
  <c r="X27" i="9"/>
  <c r="D61" i="9"/>
  <c r="T23" i="9"/>
  <c r="X23" i="9"/>
  <c r="T17" i="9"/>
  <c r="X17" i="9"/>
  <c r="D62" i="9"/>
  <c r="X24" i="9"/>
  <c r="T24" i="9"/>
  <c r="X30" i="9"/>
  <c r="T30" i="9"/>
  <c r="C180" i="9" s="1"/>
  <c r="T39" i="9"/>
  <c r="C184" i="9" s="1"/>
  <c r="X39" i="9"/>
  <c r="T38" i="9"/>
  <c r="C183" i="9" s="1"/>
  <c r="X38" i="9"/>
  <c r="X33" i="9"/>
  <c r="T33" i="9"/>
  <c r="C182" i="9" s="1"/>
  <c r="T14" i="9"/>
  <c r="X14" i="9"/>
  <c r="T44" i="9"/>
  <c r="C148" i="9" s="1"/>
  <c r="X44" i="9"/>
  <c r="X42" i="9"/>
  <c r="T42" i="9"/>
  <c r="C146" i="9" s="1"/>
  <c r="T69" i="9"/>
  <c r="E87" i="9" s="1"/>
  <c r="C186" i="9"/>
  <c r="X21" i="9"/>
  <c r="T21" i="9"/>
  <c r="C135" i="9" s="1"/>
  <c r="C185" i="9"/>
  <c r="T67" i="9"/>
  <c r="E85" i="9" s="1"/>
  <c r="X9" i="9"/>
  <c r="T9" i="9"/>
  <c r="C172" i="9" s="1"/>
  <c r="C195" i="9" s="1"/>
  <c r="X26" i="9"/>
  <c r="T26" i="9"/>
  <c r="D63" i="9"/>
  <c r="X11" i="9"/>
  <c r="D58" i="9"/>
  <c r="T11" i="9"/>
  <c r="E98" i="9"/>
  <c r="D224" i="9" s="1"/>
  <c r="F98" i="9"/>
  <c r="D98" i="9"/>
  <c r="G98" i="9"/>
  <c r="F82" i="9"/>
  <c r="G82" i="9"/>
  <c r="H82" i="9"/>
  <c r="X36" i="9"/>
  <c r="T36" i="9"/>
  <c r="C140" i="9" s="1"/>
  <c r="D68" i="9"/>
  <c r="X41" i="9"/>
  <c r="T41" i="9"/>
  <c r="X45" i="9"/>
  <c r="T45" i="9"/>
  <c r="C149" i="9" s="1"/>
  <c r="T43" i="9"/>
  <c r="C147" i="9" s="1"/>
  <c r="X43" i="9"/>
  <c r="X20" i="9"/>
  <c r="T20" i="9"/>
  <c r="C174" i="9" s="1"/>
  <c r="X67" i="9"/>
  <c r="Z40" i="9"/>
  <c r="E185" i="9"/>
  <c r="D6" i="9"/>
  <c r="T13" i="9"/>
  <c r="X13" i="9"/>
  <c r="T25" i="9"/>
  <c r="X25" i="9"/>
  <c r="X28" i="9"/>
  <c r="T28" i="9"/>
  <c r="C137" i="9" s="1"/>
  <c r="T15" i="9"/>
  <c r="X15" i="9"/>
  <c r="X16" i="9"/>
  <c r="T16" i="9"/>
  <c r="D59" i="9"/>
  <c r="C181" i="9"/>
  <c r="T64" i="9"/>
  <c r="E82" i="9" s="1"/>
  <c r="T35" i="9"/>
  <c r="C139" i="9" s="1"/>
  <c r="X35" i="9"/>
  <c r="T12" i="9"/>
  <c r="X12" i="9"/>
  <c r="X46" i="9"/>
  <c r="T46" i="9"/>
  <c r="C150" i="9" s="1"/>
  <c r="X47" i="9"/>
  <c r="T47" i="9"/>
  <c r="C151" i="9" s="1"/>
  <c r="X49" i="9"/>
  <c r="T49" i="9"/>
  <c r="C153" i="9" s="1"/>
  <c r="E103" i="9"/>
  <c r="D229" i="9" s="1"/>
  <c r="F87" i="9"/>
  <c r="F103" i="9"/>
  <c r="D103" i="9"/>
  <c r="G87" i="9"/>
  <c r="H87" i="9"/>
  <c r="G103" i="9"/>
  <c r="T22" i="9"/>
  <c r="C175" i="9" s="1"/>
  <c r="X22" i="9"/>
  <c r="X10" i="9"/>
  <c r="T10" i="9"/>
  <c r="C173" i="9" s="1"/>
  <c r="C196" i="9" s="1"/>
  <c r="X64" i="9"/>
  <c r="E181" i="9"/>
  <c r="Z31" i="9"/>
  <c r="T37" i="9"/>
  <c r="C141" i="9" s="1"/>
  <c r="X37" i="9"/>
  <c r="D66" i="9"/>
  <c r="D100" i="9" s="1"/>
  <c r="T34" i="9"/>
  <c r="X34" i="9"/>
  <c r="D65" i="9"/>
  <c r="X32" i="9"/>
  <c r="T32" i="9"/>
  <c r="X50" i="9"/>
  <c r="T50" i="9"/>
  <c r="C154" i="9" s="1"/>
  <c r="X48" i="9"/>
  <c r="T48" i="9"/>
  <c r="C152" i="9" s="1"/>
  <c r="E186" i="9"/>
  <c r="Z51" i="9"/>
  <c r="X69" i="9"/>
  <c r="D60" i="9"/>
  <c r="T19" i="9"/>
  <c r="X19" i="9"/>
  <c r="G101" i="9"/>
  <c r="G85" i="9"/>
  <c r="F101" i="9"/>
  <c r="D101" i="9"/>
  <c r="F85" i="9"/>
  <c r="H85" i="9"/>
  <c r="E101" i="9"/>
  <c r="D227" i="9" s="1"/>
  <c r="X7" i="9"/>
  <c r="T7" i="9"/>
  <c r="C170" i="9" s="1"/>
  <c r="C193" i="9" s="1"/>
  <c r="X8" i="9"/>
  <c r="T8" i="9"/>
  <c r="C171" i="9" s="1"/>
  <c r="C194" i="9" s="1"/>
  <c r="X29" i="9"/>
  <c r="T29" i="9"/>
  <c r="C179" i="9" s="1"/>
  <c r="X18" i="9"/>
  <c r="T18" i="9"/>
  <c r="P102" i="9"/>
  <c r="M102" i="9"/>
  <c r="D143" i="9"/>
  <c r="D156" i="9" s="1"/>
  <c r="Q99" i="9"/>
  <c r="S99" i="9"/>
  <c r="P99" i="9"/>
  <c r="M99" i="9"/>
  <c r="I225" i="9"/>
  <c r="M94" i="9"/>
  <c r="J110" i="9"/>
  <c r="L220" i="9" s="1"/>
  <c r="I226" i="9"/>
  <c r="S100" i="9"/>
  <c r="I116" i="9"/>
  <c r="H116" i="9"/>
  <c r="P100" i="9"/>
  <c r="S94" i="9"/>
  <c r="P94" i="9"/>
  <c r="I220" i="9"/>
  <c r="H110" i="9"/>
  <c r="I110" i="9"/>
  <c r="I91" i="9"/>
  <c r="F70" i="9"/>
  <c r="A57" i="9"/>
  <c r="J91" i="9"/>
  <c r="J217" i="9" s="1"/>
  <c r="L91" i="9"/>
  <c r="K91" i="9"/>
  <c r="M100" i="9"/>
  <c r="V57" i="9"/>
  <c r="V70" i="9" s="1"/>
  <c r="D169" i="9"/>
  <c r="K220" i="9"/>
  <c r="Q94" i="9"/>
  <c r="Q100" i="9"/>
  <c r="D187" i="9" l="1"/>
  <c r="H169" i="9"/>
  <c r="AB6" i="9"/>
  <c r="AA6" i="9"/>
  <c r="S91" i="9"/>
  <c r="P91" i="9"/>
  <c r="Q91" i="9"/>
  <c r="K115" i="9"/>
  <c r="M225" i="9" s="1"/>
  <c r="V91" i="9"/>
  <c r="H101" i="9"/>
  <c r="E117" i="9"/>
  <c r="F227" i="9" s="1"/>
  <c r="E152" i="9"/>
  <c r="Z48" i="9"/>
  <c r="E142" i="9"/>
  <c r="X65" i="9"/>
  <c r="Z32" i="9"/>
  <c r="H84" i="9"/>
  <c r="E100" i="9"/>
  <c r="D226" i="9" s="1"/>
  <c r="F100" i="9"/>
  <c r="F84" i="9"/>
  <c r="G100" i="9"/>
  <c r="G84" i="9"/>
  <c r="Z22" i="9"/>
  <c r="E175" i="9"/>
  <c r="E151" i="9"/>
  <c r="Z47" i="9"/>
  <c r="Z35" i="9"/>
  <c r="E139" i="9"/>
  <c r="E93" i="9"/>
  <c r="D219" i="9" s="1"/>
  <c r="F77" i="9"/>
  <c r="F93" i="9"/>
  <c r="D93" i="9"/>
  <c r="H77" i="9"/>
  <c r="G93" i="9"/>
  <c r="G77" i="9"/>
  <c r="C130" i="9"/>
  <c r="C202" i="9"/>
  <c r="C177" i="9"/>
  <c r="C207" i="9"/>
  <c r="Z68" i="9"/>
  <c r="D102" i="9"/>
  <c r="G102" i="9"/>
  <c r="F86" i="9"/>
  <c r="H86" i="9"/>
  <c r="E102" i="9"/>
  <c r="D228" i="9" s="1"/>
  <c r="G86" i="9"/>
  <c r="A68" i="9"/>
  <c r="F102" i="9"/>
  <c r="P82" i="9"/>
  <c r="R82" i="9"/>
  <c r="E224" i="9"/>
  <c r="O98" i="9"/>
  <c r="U98" i="9"/>
  <c r="Z11" i="9"/>
  <c r="E129" i="9"/>
  <c r="X58" i="9"/>
  <c r="P87" i="9"/>
  <c r="K87" i="9"/>
  <c r="S87" i="9"/>
  <c r="Q87" i="9"/>
  <c r="J87" i="9"/>
  <c r="O87" i="9"/>
  <c r="E182" i="9"/>
  <c r="Z33" i="9"/>
  <c r="E176" i="9"/>
  <c r="Z24" i="9"/>
  <c r="X62" i="9"/>
  <c r="Z23" i="9"/>
  <c r="E144" i="9"/>
  <c r="X61" i="9"/>
  <c r="R87" i="9"/>
  <c r="Z18" i="9"/>
  <c r="E133" i="9"/>
  <c r="E171" i="9"/>
  <c r="Z8" i="9"/>
  <c r="L85" i="9"/>
  <c r="I85" i="9"/>
  <c r="P85" i="9"/>
  <c r="R85" i="9"/>
  <c r="G94" i="9"/>
  <c r="F78" i="9"/>
  <c r="H78" i="9"/>
  <c r="G78" i="9"/>
  <c r="E94" i="9"/>
  <c r="D220" i="9" s="1"/>
  <c r="D94" i="9"/>
  <c r="F94" i="9"/>
  <c r="C142" i="9"/>
  <c r="C161" i="9" s="1"/>
  <c r="T65" i="9"/>
  <c r="E83" i="9" s="1"/>
  <c r="C138" i="9"/>
  <c r="T66" i="9"/>
  <c r="E84" i="9" s="1"/>
  <c r="E173" i="9"/>
  <c r="Z10" i="9"/>
  <c r="L87" i="9"/>
  <c r="I87" i="9"/>
  <c r="C199" i="9"/>
  <c r="C126" i="9"/>
  <c r="Z15" i="9"/>
  <c r="E130" i="9"/>
  <c r="Z25" i="9"/>
  <c r="E177" i="9"/>
  <c r="D52" i="9"/>
  <c r="D57" i="9"/>
  <c r="X6" i="9"/>
  <c r="T6" i="9"/>
  <c r="E145" i="9"/>
  <c r="Z41" i="9"/>
  <c r="X68" i="9"/>
  <c r="L82" i="9"/>
  <c r="I82" i="9"/>
  <c r="T98" i="9"/>
  <c r="R98" i="9"/>
  <c r="D114" i="9"/>
  <c r="C224" i="9"/>
  <c r="C114" i="9"/>
  <c r="N98" i="9"/>
  <c r="G76" i="9"/>
  <c r="F76" i="9"/>
  <c r="H76" i="9"/>
  <c r="G92" i="9"/>
  <c r="E92" i="9"/>
  <c r="D218" i="9" s="1"/>
  <c r="D92" i="9"/>
  <c r="F92" i="9"/>
  <c r="E178" i="9"/>
  <c r="X63" i="9"/>
  <c r="Z26" i="9"/>
  <c r="O85" i="9"/>
  <c r="Q85" i="9"/>
  <c r="S85" i="9"/>
  <c r="K85" i="9"/>
  <c r="J85" i="9"/>
  <c r="E148" i="9"/>
  <c r="Z44" i="9"/>
  <c r="Z39" i="9"/>
  <c r="E184" i="9"/>
  <c r="C176" i="9"/>
  <c r="T62" i="9"/>
  <c r="E80" i="9" s="1"/>
  <c r="C206" i="9"/>
  <c r="C204" i="9"/>
  <c r="C132" i="9"/>
  <c r="E136" i="9"/>
  <c r="Z27" i="9"/>
  <c r="C205" i="9"/>
  <c r="C133" i="9"/>
  <c r="E227" i="9"/>
  <c r="U101" i="9"/>
  <c r="O101" i="9"/>
  <c r="T60" i="9"/>
  <c r="E78" i="9" s="1"/>
  <c r="C134" i="9"/>
  <c r="E154" i="9"/>
  <c r="Z50" i="9"/>
  <c r="E138" i="9"/>
  <c r="Z34" i="9"/>
  <c r="X66" i="9"/>
  <c r="E119" i="9"/>
  <c r="F229" i="9" s="1"/>
  <c r="H103" i="9"/>
  <c r="U103" i="9"/>
  <c r="O103" i="9"/>
  <c r="E229" i="9"/>
  <c r="Z49" i="9"/>
  <c r="E153" i="9"/>
  <c r="Z46" i="9"/>
  <c r="E150" i="9"/>
  <c r="Z12" i="9"/>
  <c r="E126" i="9"/>
  <c r="O82" i="9"/>
  <c r="Q82" i="9"/>
  <c r="S82" i="9"/>
  <c r="K82" i="9"/>
  <c r="J82" i="9"/>
  <c r="X59" i="9"/>
  <c r="Z16" i="9"/>
  <c r="E131" i="9"/>
  <c r="Z28" i="9"/>
  <c r="E137" i="9"/>
  <c r="C127" i="9"/>
  <c r="C200" i="9"/>
  <c r="Z43" i="9"/>
  <c r="E147" i="9"/>
  <c r="T68" i="9"/>
  <c r="E86" i="9" s="1"/>
  <c r="C145" i="9"/>
  <c r="C163" i="9" s="1"/>
  <c r="E140" i="9"/>
  <c r="Z36" i="9"/>
  <c r="E114" i="9"/>
  <c r="F224" i="9" s="1"/>
  <c r="H98" i="9"/>
  <c r="C198" i="9"/>
  <c r="C129" i="9"/>
  <c r="T58" i="9"/>
  <c r="E76" i="9" s="1"/>
  <c r="T63" i="9"/>
  <c r="E81" i="9" s="1"/>
  <c r="C178" i="9"/>
  <c r="E172" i="9"/>
  <c r="Z9" i="9"/>
  <c r="Z21" i="9"/>
  <c r="E135" i="9"/>
  <c r="E146" i="9"/>
  <c r="Z42" i="9"/>
  <c r="C201" i="9"/>
  <c r="C128" i="9"/>
  <c r="E180" i="9"/>
  <c r="Z30" i="9"/>
  <c r="Z17" i="9"/>
  <c r="E132" i="9"/>
  <c r="G79" i="9"/>
  <c r="H79" i="9"/>
  <c r="G95" i="9"/>
  <c r="E95" i="9"/>
  <c r="D221" i="9" s="1"/>
  <c r="F79" i="9"/>
  <c r="F95" i="9"/>
  <c r="D95" i="9"/>
  <c r="Z29" i="9"/>
  <c r="E179" i="9"/>
  <c r="E170" i="9"/>
  <c r="Z7" i="9"/>
  <c r="T101" i="9"/>
  <c r="R101" i="9"/>
  <c r="C117" i="9"/>
  <c r="C227" i="9"/>
  <c r="D117" i="9"/>
  <c r="N101" i="9"/>
  <c r="Z19" i="9"/>
  <c r="X60" i="9"/>
  <c r="E134" i="9"/>
  <c r="F99" i="9"/>
  <c r="G83" i="9"/>
  <c r="D99" i="9"/>
  <c r="E99" i="9"/>
  <c r="D225" i="9" s="1"/>
  <c r="F83" i="9"/>
  <c r="H83" i="9"/>
  <c r="G99" i="9"/>
  <c r="E141" i="9"/>
  <c r="Z37" i="9"/>
  <c r="R103" i="9"/>
  <c r="T103" i="9"/>
  <c r="C229" i="9"/>
  <c r="D119" i="9"/>
  <c r="N103" i="9"/>
  <c r="C119" i="9"/>
  <c r="C203" i="9"/>
  <c r="C131" i="9"/>
  <c r="T59" i="9"/>
  <c r="E77" i="9" s="1"/>
  <c r="Z13" i="9"/>
  <c r="E127" i="9"/>
  <c r="E174" i="9"/>
  <c r="Z20" i="9"/>
  <c r="E149" i="9"/>
  <c r="Z45" i="9"/>
  <c r="E97" i="9"/>
  <c r="D223" i="9" s="1"/>
  <c r="G81" i="9"/>
  <c r="F97" i="9"/>
  <c r="G97" i="9"/>
  <c r="D97" i="9"/>
  <c r="H81" i="9"/>
  <c r="F81" i="9"/>
  <c r="Z14" i="9"/>
  <c r="E128" i="9"/>
  <c r="Z38" i="9"/>
  <c r="E183" i="9"/>
  <c r="F96" i="9"/>
  <c r="F80" i="9"/>
  <c r="H80" i="9"/>
  <c r="E96" i="9"/>
  <c r="D222" i="9" s="1"/>
  <c r="G96" i="9"/>
  <c r="G80" i="9"/>
  <c r="D96" i="9"/>
  <c r="C144" i="9"/>
  <c r="T61" i="9"/>
  <c r="E79" i="9" s="1"/>
  <c r="D188" i="9"/>
  <c r="L118" i="9"/>
  <c r="N228" i="9" s="1"/>
  <c r="K217" i="9"/>
  <c r="K110" i="9"/>
  <c r="M91" i="9"/>
  <c r="J107" i="9"/>
  <c r="L217" i="9" s="1"/>
  <c r="K116" i="9"/>
  <c r="I107" i="9"/>
  <c r="I217" i="9"/>
  <c r="H107" i="9"/>
  <c r="L115" i="9" l="1"/>
  <c r="N225" i="9" s="1"/>
  <c r="F117" i="9"/>
  <c r="G227" i="9" s="1"/>
  <c r="M85" i="9"/>
  <c r="N85" i="9" s="1"/>
  <c r="R83" i="9"/>
  <c r="F114" i="9"/>
  <c r="G114" i="9" s="1"/>
  <c r="H224" i="9" s="1"/>
  <c r="U99" i="9"/>
  <c r="E225" i="9"/>
  <c r="O99" i="9"/>
  <c r="P79" i="9"/>
  <c r="R79" i="9"/>
  <c r="I76" i="9"/>
  <c r="L76" i="9"/>
  <c r="F91" i="9"/>
  <c r="D70" i="9"/>
  <c r="E91" i="9"/>
  <c r="D217" i="9" s="1"/>
  <c r="G91" i="9"/>
  <c r="F75" i="9"/>
  <c r="D91" i="9"/>
  <c r="T91" i="9" s="1"/>
  <c r="G75" i="9"/>
  <c r="R75" i="9" s="1"/>
  <c r="H75" i="9"/>
  <c r="L75" i="9" s="1"/>
  <c r="J84" i="9"/>
  <c r="S84" i="9"/>
  <c r="O84" i="9"/>
  <c r="K84" i="9"/>
  <c r="Q84" i="9"/>
  <c r="E109" i="9"/>
  <c r="F219" i="9" s="1"/>
  <c r="H93" i="9"/>
  <c r="L80" i="9"/>
  <c r="I80" i="9"/>
  <c r="U97" i="9"/>
  <c r="O97" i="9"/>
  <c r="E223" i="9"/>
  <c r="E115" i="9"/>
  <c r="F225" i="9" s="1"/>
  <c r="H99" i="9"/>
  <c r="K79" i="9"/>
  <c r="Q79" i="9"/>
  <c r="J79" i="9"/>
  <c r="S79" i="9"/>
  <c r="O79" i="9"/>
  <c r="H96" i="9"/>
  <c r="E112" i="9"/>
  <c r="F222" i="9" s="1"/>
  <c r="U96" i="9"/>
  <c r="O96" i="9"/>
  <c r="E222" i="9"/>
  <c r="E113" i="9"/>
  <c r="F223" i="9" s="1"/>
  <c r="H97" i="9"/>
  <c r="T92" i="9"/>
  <c r="N92" i="9"/>
  <c r="R92" i="9"/>
  <c r="C218" i="9"/>
  <c r="D108" i="9"/>
  <c r="C108" i="9"/>
  <c r="T94" i="9"/>
  <c r="R94" i="9"/>
  <c r="C110" i="9"/>
  <c r="D110" i="9"/>
  <c r="N94" i="9"/>
  <c r="C220" i="9"/>
  <c r="T102" i="9"/>
  <c r="R102" i="9"/>
  <c r="C118" i="9"/>
  <c r="N102" i="9"/>
  <c r="D118" i="9"/>
  <c r="C228" i="9"/>
  <c r="L77" i="9"/>
  <c r="I77" i="9"/>
  <c r="E116" i="9"/>
  <c r="F226" i="9" s="1"/>
  <c r="H100" i="9"/>
  <c r="F119" i="9"/>
  <c r="M82" i="9"/>
  <c r="N82" i="9" s="1"/>
  <c r="E155" i="9"/>
  <c r="M87" i="9"/>
  <c r="N87" i="9" s="1"/>
  <c r="R80" i="9"/>
  <c r="P80" i="9"/>
  <c r="T97" i="9"/>
  <c r="R97" i="9"/>
  <c r="C223" i="9"/>
  <c r="N97" i="9"/>
  <c r="D113" i="9"/>
  <c r="C113" i="9"/>
  <c r="O92" i="9"/>
  <c r="U92" i="9"/>
  <c r="E218" i="9"/>
  <c r="I78" i="9"/>
  <c r="L78" i="9"/>
  <c r="E118" i="9"/>
  <c r="F228" i="9" s="1"/>
  <c r="H102" i="9"/>
  <c r="R84" i="9"/>
  <c r="P84" i="9"/>
  <c r="U100" i="9"/>
  <c r="E226" i="9"/>
  <c r="O100" i="9"/>
  <c r="T96" i="9"/>
  <c r="D112" i="9"/>
  <c r="R96" i="9"/>
  <c r="C112" i="9"/>
  <c r="C222" i="9"/>
  <c r="N96" i="9"/>
  <c r="P81" i="9"/>
  <c r="R81" i="9"/>
  <c r="I83" i="9"/>
  <c r="L83" i="9"/>
  <c r="U95" i="9"/>
  <c r="E221" i="9"/>
  <c r="O95" i="9"/>
  <c r="I79" i="9"/>
  <c r="L79" i="9"/>
  <c r="S76" i="9"/>
  <c r="J76" i="9"/>
  <c r="Q76" i="9"/>
  <c r="K76" i="9"/>
  <c r="O76" i="9"/>
  <c r="O86" i="9"/>
  <c r="Q86" i="9"/>
  <c r="J86" i="9"/>
  <c r="S86" i="9"/>
  <c r="K86" i="9"/>
  <c r="J78" i="9"/>
  <c r="Q78" i="9"/>
  <c r="K78" i="9"/>
  <c r="O78" i="9"/>
  <c r="S78" i="9"/>
  <c r="H92" i="9"/>
  <c r="E108" i="9"/>
  <c r="F218" i="9" s="1"/>
  <c r="X57" i="9"/>
  <c r="X70" i="9" s="1"/>
  <c r="Z6" i="9"/>
  <c r="Z52" i="9" s="1"/>
  <c r="E169" i="9"/>
  <c r="X52" i="9"/>
  <c r="P78" i="9"/>
  <c r="R78" i="9"/>
  <c r="P77" i="9"/>
  <c r="R77" i="9"/>
  <c r="O93" i="9"/>
  <c r="U93" i="9"/>
  <c r="E219" i="9"/>
  <c r="T100" i="9"/>
  <c r="C226" i="9"/>
  <c r="D116" i="9"/>
  <c r="C116" i="9"/>
  <c r="N100" i="9"/>
  <c r="R100" i="9"/>
  <c r="U94" i="9"/>
  <c r="O94" i="9"/>
  <c r="E220" i="9"/>
  <c r="P86" i="9"/>
  <c r="R86" i="9"/>
  <c r="I81" i="9"/>
  <c r="L81" i="9"/>
  <c r="S77" i="9"/>
  <c r="O77" i="9"/>
  <c r="K77" i="9"/>
  <c r="J77" i="9"/>
  <c r="Q77" i="9"/>
  <c r="C162" i="9"/>
  <c r="C155" i="9"/>
  <c r="T99" i="9"/>
  <c r="N99" i="9"/>
  <c r="C225" i="9"/>
  <c r="R99" i="9"/>
  <c r="D115" i="9"/>
  <c r="C115" i="9"/>
  <c r="T95" i="9"/>
  <c r="R95" i="9"/>
  <c r="C221" i="9"/>
  <c r="N95" i="9"/>
  <c r="C111" i="9"/>
  <c r="D111" i="9"/>
  <c r="H95" i="9"/>
  <c r="E111" i="9"/>
  <c r="F221" i="9" s="1"/>
  <c r="K81" i="9"/>
  <c r="Q81" i="9"/>
  <c r="S81" i="9"/>
  <c r="O81" i="9"/>
  <c r="J81" i="9"/>
  <c r="S80" i="9"/>
  <c r="J80" i="9"/>
  <c r="K80" i="9"/>
  <c r="Q80" i="9"/>
  <c r="O80" i="9"/>
  <c r="P76" i="9"/>
  <c r="R76" i="9"/>
  <c r="T57" i="9"/>
  <c r="T52" i="9"/>
  <c r="C169" i="9"/>
  <c r="G169" i="9" s="1"/>
  <c r="P83" i="9"/>
  <c r="S83" i="9"/>
  <c r="K83" i="9"/>
  <c r="Q83" i="9"/>
  <c r="J83" i="9"/>
  <c r="O83" i="9"/>
  <c r="H94" i="9"/>
  <c r="E110" i="9"/>
  <c r="F220" i="9" s="1"/>
  <c r="U102" i="9"/>
  <c r="O102" i="9"/>
  <c r="E228" i="9"/>
  <c r="L86" i="9"/>
  <c r="I86" i="9"/>
  <c r="T93" i="9"/>
  <c r="D109" i="9"/>
  <c r="C219" i="9"/>
  <c r="R93" i="9"/>
  <c r="N93" i="9"/>
  <c r="C109" i="9"/>
  <c r="L84" i="9"/>
  <c r="I84" i="9"/>
  <c r="E143" i="9"/>
  <c r="C143" i="9"/>
  <c r="M226" i="9"/>
  <c r="L116" i="9"/>
  <c r="N226" i="9" s="1"/>
  <c r="K107" i="9"/>
  <c r="L110" i="9"/>
  <c r="N220" i="9" s="1"/>
  <c r="M220" i="9"/>
  <c r="E187" i="9" l="1"/>
  <c r="I169" i="9"/>
  <c r="J169" i="9" s="1"/>
  <c r="F109" i="9"/>
  <c r="M81" i="9"/>
  <c r="N81" i="9" s="1"/>
  <c r="G224" i="9"/>
  <c r="G117" i="9"/>
  <c r="H227" i="9" s="1"/>
  <c r="M80" i="9"/>
  <c r="N80" i="9" s="1"/>
  <c r="M77" i="9"/>
  <c r="N77" i="9" s="1"/>
  <c r="M78" i="9"/>
  <c r="N78" i="9" s="1"/>
  <c r="F112" i="9"/>
  <c r="G112" i="9" s="1"/>
  <c r="H222" i="9" s="1"/>
  <c r="E156" i="9"/>
  <c r="E188" i="9" s="1"/>
  <c r="M83" i="9"/>
  <c r="N83" i="9" s="1"/>
  <c r="F113" i="9"/>
  <c r="G223" i="9" s="1"/>
  <c r="F108" i="9"/>
  <c r="G218" i="9" s="1"/>
  <c r="M86" i="9"/>
  <c r="N86" i="9" s="1"/>
  <c r="F118" i="9"/>
  <c r="M79" i="9"/>
  <c r="N79" i="9" s="1"/>
  <c r="T70" i="9"/>
  <c r="E75" i="9"/>
  <c r="O91" i="9"/>
  <c r="N91" i="9"/>
  <c r="R91" i="9"/>
  <c r="D107" i="9"/>
  <c r="C217" i="9"/>
  <c r="C107" i="9"/>
  <c r="F111" i="9"/>
  <c r="C156" i="9"/>
  <c r="C158" i="9" s="1"/>
  <c r="C160" i="9"/>
  <c r="G219" i="9"/>
  <c r="G109" i="9"/>
  <c r="H219" i="9" s="1"/>
  <c r="M76" i="9"/>
  <c r="N76" i="9" s="1"/>
  <c r="F110" i="9"/>
  <c r="C187" i="9"/>
  <c r="C192" i="9"/>
  <c r="E107" i="9"/>
  <c r="F217" i="9" s="1"/>
  <c r="H91" i="9"/>
  <c r="G229" i="9"/>
  <c r="G119" i="9"/>
  <c r="H229" i="9" s="1"/>
  <c r="U91" i="9"/>
  <c r="E217" i="9"/>
  <c r="F115" i="9"/>
  <c r="F116" i="9"/>
  <c r="M84" i="9"/>
  <c r="N84" i="9" s="1"/>
  <c r="M217" i="9"/>
  <c r="L107" i="9"/>
  <c r="N217" i="9" s="1"/>
  <c r="O75" i="9" l="1"/>
  <c r="S75" i="9"/>
  <c r="P75" i="9"/>
  <c r="G108" i="9"/>
  <c r="H218" i="9" s="1"/>
  <c r="G222" i="9"/>
  <c r="G113" i="9"/>
  <c r="H223" i="9" s="1"/>
  <c r="F107" i="9"/>
  <c r="G228" i="9"/>
  <c r="G118" i="9"/>
  <c r="H228" i="9" s="1"/>
  <c r="D192" i="9"/>
  <c r="F192" i="9"/>
  <c r="E192" i="9"/>
  <c r="C208" i="9"/>
  <c r="G115" i="9"/>
  <c r="H225" i="9" s="1"/>
  <c r="G225" i="9"/>
  <c r="G116" i="9"/>
  <c r="H226" i="9" s="1"/>
  <c r="G226" i="9"/>
  <c r="G111" i="9"/>
  <c r="H221" i="9" s="1"/>
  <c r="G221" i="9"/>
  <c r="I75" i="9"/>
  <c r="K75" i="9"/>
  <c r="J75" i="9"/>
  <c r="Q75" i="9"/>
  <c r="C188" i="9"/>
  <c r="G220" i="9"/>
  <c r="G110" i="9"/>
  <c r="H220" i="9" s="1"/>
  <c r="G217" i="9" l="1"/>
  <c r="G107" i="9"/>
  <c r="H217" i="9" s="1"/>
  <c r="M75" i="9"/>
  <c r="N75" i="9" s="1"/>
</calcChain>
</file>

<file path=xl/sharedStrings.xml><?xml version="1.0" encoding="utf-8"?>
<sst xmlns="http://schemas.openxmlformats.org/spreadsheetml/2006/main" count="1940" uniqueCount="370">
  <si>
    <t>Référence de l'échantillon</t>
  </si>
  <si>
    <t>Tournée échantillonnée:</t>
  </si>
  <si>
    <t>Site d'échantillonnage</t>
  </si>
  <si>
    <t>Météo</t>
  </si>
  <si>
    <t>Données sur l'échantillon</t>
  </si>
  <si>
    <t>Date échantillonnage</t>
  </si>
  <si>
    <t>Masse échantillon secondaire</t>
  </si>
  <si>
    <t>kg</t>
  </si>
  <si>
    <t>Heure prélèvement</t>
  </si>
  <si>
    <t>Volume échantillon secondaire</t>
  </si>
  <si>
    <t>m3</t>
  </si>
  <si>
    <t xml:space="preserve">Densité échantillon secondaire </t>
  </si>
  <si>
    <t>T/m3</t>
  </si>
  <si>
    <t>Humidité globale :</t>
  </si>
  <si>
    <t>Résultats du tri l'échantillon</t>
  </si>
  <si>
    <t>Poids sec (g)</t>
  </si>
  <si>
    <t>Poids sec % par sous-catégories</t>
  </si>
  <si>
    <t>Poids humide % par sous-catégories</t>
  </si>
  <si>
    <t>Poids sec % par catégorie</t>
  </si>
  <si>
    <t>Poids humide % par catégorie</t>
  </si>
  <si>
    <t>Catégories</t>
  </si>
  <si>
    <t>Sous-catégories</t>
  </si>
  <si>
    <t>20 à 100 mm</t>
  </si>
  <si>
    <t>100 - 350 mm</t>
  </si>
  <si>
    <t>&gt;350 mm</t>
  </si>
  <si>
    <t>Total</t>
  </si>
  <si>
    <t>Déchets putrescibles</t>
  </si>
  <si>
    <t>Produits alimentaires non consommés</t>
  </si>
  <si>
    <t>Autres putrescibles</t>
  </si>
  <si>
    <t>Déchets de jardins ligneux</t>
  </si>
  <si>
    <t>Déchets de jardins non ligneux</t>
  </si>
  <si>
    <t>Papiers</t>
  </si>
  <si>
    <t>Emballages papier</t>
  </si>
  <si>
    <t>Journaux, magazines et revues</t>
  </si>
  <si>
    <t>Imprimés publicitaires</t>
  </si>
  <si>
    <t>Papiers bureautiques</t>
  </si>
  <si>
    <t xml:space="preserve">Autres papiers </t>
  </si>
  <si>
    <t>Cartons</t>
  </si>
  <si>
    <t>Emballages cartons plats</t>
  </si>
  <si>
    <t>Emballages cartons ondulés</t>
  </si>
  <si>
    <t>Autres cartons</t>
  </si>
  <si>
    <t>Complexes/ Composites</t>
  </si>
  <si>
    <t>Composites ELA (Tetrapack)</t>
  </si>
  <si>
    <t>Autres emballages composites</t>
  </si>
  <si>
    <t>Petits Appareils Electroménagers (PAM)</t>
  </si>
  <si>
    <t>Textiles</t>
  </si>
  <si>
    <t xml:space="preserve">Textiles </t>
  </si>
  <si>
    <t>Textiles sanitaires</t>
  </si>
  <si>
    <t>Textiles sanitaires fraction hygiénique</t>
  </si>
  <si>
    <t>Textiles sanitaires fraction papiers souillés</t>
  </si>
  <si>
    <t>Plastiques</t>
  </si>
  <si>
    <t>Films polyoléfines (PE et PP)</t>
  </si>
  <si>
    <t xml:space="preserve">Bouteilles et flacons en PET </t>
  </si>
  <si>
    <t>Bouteilles et flacons en polyoléfine (PEHD)</t>
  </si>
  <si>
    <t>Autres emballages plastiques</t>
  </si>
  <si>
    <t>Autres plastiques</t>
  </si>
  <si>
    <t>Combustibles non classés</t>
  </si>
  <si>
    <t>Verre</t>
  </si>
  <si>
    <t>Emballages en verre incolores et de couleur</t>
  </si>
  <si>
    <t>Autres déchets en verre</t>
  </si>
  <si>
    <t>Métaux</t>
  </si>
  <si>
    <t>Emballages métaux ferreux hors aérosols</t>
  </si>
  <si>
    <t>Emballages aluminium hors aérosols</t>
  </si>
  <si>
    <t>Aérosols ferreux non dangereux</t>
  </si>
  <si>
    <t>Aérosols aluminium non dangereux</t>
  </si>
  <si>
    <t>Autres métaux ferreux</t>
  </si>
  <si>
    <t xml:space="preserve">Autres métaux </t>
  </si>
  <si>
    <t>Incombustibles non classés</t>
  </si>
  <si>
    <t xml:space="preserve">Emballages incombustibles </t>
  </si>
  <si>
    <t>Déchets ménagers spéciaux</t>
  </si>
  <si>
    <t>Tubes fluorescents et ampoules basse consommation</t>
  </si>
  <si>
    <t>Aérosols dangereux</t>
  </si>
  <si>
    <t>Piles et accumulateurs</t>
  </si>
  <si>
    <t>Autres déchets ménagers spéciaux</t>
  </si>
  <si>
    <t>Eléments fins &lt; 20 mm</t>
  </si>
  <si>
    <t>Répartition fractions granulométriques:</t>
  </si>
  <si>
    <t>Global</t>
  </si>
  <si>
    <t>Moy. Paris</t>
  </si>
  <si>
    <t>Moy. Banlieue</t>
  </si>
  <si>
    <t>Humidité globale</t>
  </si>
  <si>
    <t>sec</t>
  </si>
  <si>
    <t>humide</t>
  </si>
  <si>
    <t>Déchets Putrescibles</t>
  </si>
  <si>
    <t>Composites</t>
  </si>
  <si>
    <t>MODECOM 2007</t>
  </si>
  <si>
    <t>SYCTOM</t>
  </si>
  <si>
    <t>Moyenne</t>
  </si>
  <si>
    <t>Min</t>
  </si>
  <si>
    <t>Max</t>
  </si>
  <si>
    <t>Ecart-type absolu</t>
  </si>
  <si>
    <t>Ecart-type relatif</t>
  </si>
  <si>
    <t>Banlieue</t>
  </si>
  <si>
    <t>Paris</t>
  </si>
  <si>
    <t>Min.</t>
  </si>
  <si>
    <t>Max.</t>
  </si>
  <si>
    <t>Ecart-type</t>
  </si>
  <si>
    <t>OMR</t>
  </si>
  <si>
    <t>Potentiel minimum</t>
  </si>
  <si>
    <t>Potentiel intermédiaire</t>
  </si>
  <si>
    <t>Potentiel maximum</t>
  </si>
  <si>
    <t>moy modecom humide</t>
  </si>
  <si>
    <t>Sous-total autres déchets pouvant être orientés vers d'autres collecte</t>
  </si>
  <si>
    <t>Sous-total déchets visés par les consignes de tri (bac jaune ou bac et colonnes verre)</t>
  </si>
  <si>
    <t>UCL +</t>
  </si>
  <si>
    <t>UCL-</t>
  </si>
  <si>
    <t>UCL</t>
  </si>
  <si>
    <t>Chebyshev SYCTOM</t>
  </si>
  <si>
    <t xml:space="preserve">Poids sec % </t>
  </si>
  <si>
    <t xml:space="preserve">Poids humide % </t>
  </si>
  <si>
    <t>Combustibles</t>
  </si>
  <si>
    <t xml:space="preserve">Incombustibles </t>
  </si>
  <si>
    <t>combustibles</t>
  </si>
  <si>
    <t>incombustibles</t>
  </si>
  <si>
    <t>Erreur absolue</t>
  </si>
  <si>
    <t>Erreur relative</t>
  </si>
  <si>
    <t>banlieue</t>
  </si>
  <si>
    <t>paris</t>
  </si>
  <si>
    <t>écart MODECOM</t>
  </si>
  <si>
    <t>écart MODECOM banlieue</t>
  </si>
  <si>
    <t>Déchets alimentaires (non consommables)</t>
  </si>
  <si>
    <t>câbles électriques</t>
  </si>
  <si>
    <t>Produits diffus spécifiques</t>
  </si>
  <si>
    <t>Déchets d'activités de soins perforants</t>
  </si>
  <si>
    <t>Huiles minérales</t>
  </si>
  <si>
    <t>Cartouche d'impression</t>
  </si>
  <si>
    <t>Bouteille de gaz</t>
  </si>
  <si>
    <t>Médicaments non utilisés</t>
  </si>
  <si>
    <t>Combustibles NC</t>
  </si>
  <si>
    <t>Autres verre</t>
  </si>
  <si>
    <t>Incombustibles NC</t>
  </si>
  <si>
    <t>Câbles électriques</t>
  </si>
  <si>
    <t xml:space="preserve">Collecte sélective </t>
  </si>
  <si>
    <t>SYCTOM 2014</t>
  </si>
  <si>
    <t>écart paris banlieue</t>
  </si>
  <si>
    <t>intervalle banlieue</t>
  </si>
  <si>
    <t>intervalle paris</t>
  </si>
  <si>
    <t>SYCTOM été 2015</t>
  </si>
  <si>
    <t>Syctom E15</t>
  </si>
  <si>
    <t>Echantillon</t>
  </si>
  <si>
    <t>Poids échantillon humide</t>
  </si>
  <si>
    <t>Masse mise en étuve</t>
  </si>
  <si>
    <t>Vérif</t>
  </si>
  <si>
    <t>Poids sorti étuve</t>
  </si>
  <si>
    <t>Produits dangereux</t>
  </si>
  <si>
    <t>eau dans les bouteilles =bouteilles pleines-bouteilles vides)</t>
  </si>
  <si>
    <t>Aérosols</t>
  </si>
  <si>
    <t>Hétéroclites</t>
  </si>
  <si>
    <t>Poids échantillon sec</t>
  </si>
  <si>
    <t>VERIF poids sec recalculé</t>
  </si>
  <si>
    <t>VERIF</t>
  </si>
  <si>
    <t>Taux d’humidité</t>
  </si>
  <si>
    <t>VERIF Taux d’humidité</t>
  </si>
  <si>
    <t>H15</t>
  </si>
  <si>
    <t>ISS PB BAN</t>
  </si>
  <si>
    <t>ISS PC BAN</t>
  </si>
  <si>
    <t>ISS  PB PAR</t>
  </si>
  <si>
    <t>ISS  PC PAR</t>
  </si>
  <si>
    <t>IVR  PB BAN</t>
  </si>
  <si>
    <t>IVR PC BAN</t>
  </si>
  <si>
    <t>IVR  PB PAR</t>
  </si>
  <si>
    <t>IVR  PC PAR</t>
  </si>
  <si>
    <t>ROM  PB BAN</t>
  </si>
  <si>
    <t>ROM PC BAN</t>
  </si>
  <si>
    <t>ROM  PB PAR</t>
  </si>
  <si>
    <t>ROM  PC PAR</t>
  </si>
  <si>
    <t>STO  PB BAN</t>
  </si>
  <si>
    <t>STO PC BAN</t>
  </si>
  <si>
    <t>STO  PB PAR</t>
  </si>
  <si>
    <t>STO  PC PAR</t>
  </si>
  <si>
    <t>P15</t>
  </si>
  <si>
    <t>STO  PB PAR 1</t>
  </si>
  <si>
    <t>STO  PC PAR 1</t>
  </si>
  <si>
    <t>STO  PB PAR 2</t>
  </si>
  <si>
    <t>STO  PC PAR 2</t>
  </si>
  <si>
    <t>E15</t>
  </si>
  <si>
    <t>A15</t>
  </si>
  <si>
    <t>Site</t>
  </si>
  <si>
    <t>échantillon</t>
  </si>
  <si>
    <t>A
(=B+C)
poids échantillon humide</t>
  </si>
  <si>
    <t>B
masse mise en étuve</t>
  </si>
  <si>
    <t>C
produits non-mis en étuve</t>
  </si>
  <si>
    <t>D
masse sèche sortie d'étuve</t>
  </si>
  <si>
    <t xml:space="preserve">E
poids échantillon sec
(= D+C2
+C3+C4)
</t>
  </si>
  <si>
    <t>Taux d'humidité
(= (A-E)/A)</t>
  </si>
  <si>
    <t>C1
eau des bouteilles pleines</t>
  </si>
  <si>
    <t>C2
produits dangereux</t>
  </si>
  <si>
    <t>C3
aérosols</t>
  </si>
  <si>
    <t>C4
hétéroclites</t>
  </si>
  <si>
    <t>verif</t>
  </si>
  <si>
    <t>valeurs tableaux au-dessus</t>
  </si>
  <si>
    <t>Isséane</t>
  </si>
  <si>
    <t>moyenne</t>
  </si>
  <si>
    <t>Ivry</t>
  </si>
  <si>
    <t>Romainville</t>
  </si>
  <si>
    <t>Saint-Ouen</t>
  </si>
  <si>
    <t>Moyenne banlieue</t>
  </si>
  <si>
    <t>Moyenne Pairs</t>
  </si>
  <si>
    <t>ts bassins</t>
  </si>
  <si>
    <t>moy PB</t>
  </si>
  <si>
    <t>moy PC</t>
  </si>
  <si>
    <t>Analyses des Déchets Initiaux 
Reconstitués du SYCTOM</t>
  </si>
  <si>
    <t>Fraction 0 à 350 mm</t>
  </si>
  <si>
    <t xml:space="preserve">Analyse </t>
  </si>
  <si>
    <t>Norme</t>
  </si>
  <si>
    <t>Unité</t>
  </si>
  <si>
    <t>ISS_E15
PB PAR</t>
  </si>
  <si>
    <t>ISS_E15 
PB BAN</t>
  </si>
  <si>
    <t>STO_E15 
PB PAR</t>
  </si>
  <si>
    <t>STO_E15 
PB BAN</t>
  </si>
  <si>
    <t>ROM_E15 PB PAR</t>
  </si>
  <si>
    <t>ROM_E15 PB BAN</t>
  </si>
  <si>
    <t>IV13_E15 
PB PAR</t>
  </si>
  <si>
    <t>IV13_E15 
PB BAN</t>
  </si>
  <si>
    <t>Moyenne ISSEANE</t>
  </si>
  <si>
    <t>Moyenne 
St OUEN</t>
  </si>
  <si>
    <t>Moyenne 
ROMAINVILLE</t>
  </si>
  <si>
    <t>Moyenne IVRY 13</t>
  </si>
  <si>
    <t>Moyenne PARIS</t>
  </si>
  <si>
    <t>Moyenne BANLIEUE</t>
  </si>
  <si>
    <t>Ref MODECOM</t>
  </si>
  <si>
    <t>+ 20%</t>
  </si>
  <si>
    <t>- 20%</t>
  </si>
  <si>
    <t>Matière organique</t>
  </si>
  <si>
    <t>Perte au feu 
à 545°C</t>
  </si>
  <si>
    <t>%</t>
  </si>
  <si>
    <t>Azote total</t>
  </si>
  <si>
    <t>NF EN 15 407</t>
  </si>
  <si>
    <t>Phosphore total</t>
  </si>
  <si>
    <t>NF EN 13 650</t>
  </si>
  <si>
    <t>mg/kg sec</t>
  </si>
  <si>
    <t>Potassium</t>
  </si>
  <si>
    <t>Carbone organique</t>
  </si>
  <si>
    <t>EN 13 137</t>
  </si>
  <si>
    <t>Azote organique</t>
  </si>
  <si>
    <t>Calcul</t>
  </si>
  <si>
    <t>Rapport C/N organique</t>
  </si>
  <si>
    <t>-</t>
  </si>
  <si>
    <t>Soufre</t>
  </si>
  <si>
    <t>NF EN 14 582</t>
  </si>
  <si>
    <t>Chlore</t>
  </si>
  <si>
    <t>Fluor</t>
  </si>
  <si>
    <t>Plomb</t>
  </si>
  <si>
    <t>Cuivre</t>
  </si>
  <si>
    <t>Cadmium</t>
  </si>
  <si>
    <t>Chrome</t>
  </si>
  <si>
    <t>Nickel</t>
  </si>
  <si>
    <t>Zinc</t>
  </si>
  <si>
    <t>Mercure total</t>
  </si>
  <si>
    <t>Méthode interne</t>
  </si>
  <si>
    <t>Arsenic</t>
  </si>
  <si>
    <t>Sélenium</t>
  </si>
  <si>
    <t>Humidité totale</t>
  </si>
  <si>
    <t>PCS/sec</t>
  </si>
  <si>
    <t>CEN TS 
15 400</t>
  </si>
  <si>
    <t>cal/g</t>
  </si>
  <si>
    <t>Carbone 
total</t>
  </si>
  <si>
    <t>Hydrogène pour PCI</t>
  </si>
  <si>
    <t>PCI/sec expérimental</t>
  </si>
  <si>
    <t>PCI/brut expérimental</t>
  </si>
  <si>
    <t>PCI/sec calculatoire</t>
  </si>
  <si>
    <t>PCI/brut calculatoire</t>
  </si>
  <si>
    <t>Analyses des Déchets Organiques Totaux du SYCTOM</t>
  </si>
  <si>
    <t>ISS_E15
PB BAN</t>
  </si>
  <si>
    <t>ROM_E15 
PB PAR</t>
  </si>
  <si>
    <t>ROM_E15 
PB BAN</t>
  </si>
  <si>
    <t>Moyenne Générale</t>
  </si>
  <si>
    <t>N de NH4</t>
  </si>
  <si>
    <t>Non normalisé</t>
  </si>
  <si>
    <t>N de NO3</t>
  </si>
  <si>
    <t>N de NO2</t>
  </si>
  <si>
    <t>Rapport C/N total</t>
  </si>
  <si>
    <t>&lt;0,1</t>
  </si>
  <si>
    <t>&lt;</t>
  </si>
  <si>
    <t>Humidité DOT</t>
  </si>
  <si>
    <t>PCI/sec</t>
  </si>
  <si>
    <t>ISS_E14
PB PAR</t>
  </si>
  <si>
    <t>ISS_E14
PB BAN</t>
  </si>
  <si>
    <t>STO_E14 
PB PAR</t>
  </si>
  <si>
    <t>STO_E14 
PB BAN</t>
  </si>
  <si>
    <t>ROM_E14 
PB PAR</t>
  </si>
  <si>
    <t>ROM_E14 
PB BAN</t>
  </si>
  <si>
    <t>IV13_E14 
PB PAR</t>
  </si>
  <si>
    <t>IV13_E14 
PB BAN</t>
  </si>
  <si>
    <t>Mo sur Brut</t>
  </si>
  <si>
    <t>Somme des NPK</t>
  </si>
  <si>
    <t>Analyses des Déchets Organiques 
Totaux du SYCTOM</t>
  </si>
  <si>
    <t>Campagne : Eté 2015</t>
  </si>
  <si>
    <t xml:space="preserve">Unité </t>
  </si>
  <si>
    <t>Complexes</t>
  </si>
  <si>
    <t>Incombustibles</t>
  </si>
  <si>
    <t>Déchets spéciaux</t>
  </si>
  <si>
    <t>Fermentescibles</t>
  </si>
  <si>
    <t>Ligneux</t>
  </si>
  <si>
    <t>Non ligneux</t>
  </si>
  <si>
    <t>Fines</t>
  </si>
  <si>
    <t>MODECOM</t>
  </si>
  <si>
    <t>Limite haute</t>
  </si>
  <si>
    <t>Limite basse</t>
  </si>
  <si>
    <t>Non analysé</t>
  </si>
  <si>
    <t>&gt;</t>
  </si>
  <si>
    <t>C orga</t>
  </si>
  <si>
    <t>Rapport C/N orga</t>
  </si>
  <si>
    <t>&lt;20</t>
  </si>
  <si>
    <t>&lt;1,0</t>
  </si>
  <si>
    <t>C</t>
  </si>
  <si>
    <t>H</t>
  </si>
  <si>
    <t>PCI/SEC = PCS/SEC - 49,2*H</t>
  </si>
  <si>
    <t>Analyses des CSR du SYCTOM</t>
  </si>
  <si>
    <t>Combustibles/Fines (0 à 350 mm)</t>
  </si>
  <si>
    <t>Carbone total (%)</t>
  </si>
  <si>
    <t>Hydrogène pour PCI (%)</t>
  </si>
  <si>
    <t>PCS/sec (cal/g)</t>
  </si>
  <si>
    <t>PCI/sec (cal/g)</t>
  </si>
  <si>
    <t>ISS_E15 PC PAR</t>
  </si>
  <si>
    <t>ISS_E15 PC BAN</t>
  </si>
  <si>
    <t>STO_E15  PC PAR</t>
  </si>
  <si>
    <t>STO_E15  PC BAN</t>
  </si>
  <si>
    <t>ROM_E15  PC PAR</t>
  </si>
  <si>
    <t>ROM_E15  PC BAN</t>
  </si>
  <si>
    <t>IV13_E15  PC PAR</t>
  </si>
  <si>
    <t>IV13_E15  PC BAN</t>
  </si>
  <si>
    <t>Incombustibles (0 à 350 mm)</t>
  </si>
  <si>
    <t>Toutes fractions (0 à 350 mm)</t>
  </si>
  <si>
    <t>Humidité (%)</t>
  </si>
  <si>
    <t>PCI/brut
(cal/g)</t>
  </si>
  <si>
    <t>Analyse des Déchets Initiaux Reconstitués du SYCTOM : prestation B</t>
  </si>
  <si>
    <t>Analyse du PCI des OM du Syctom : comparaison résultats prestation B et prestation C</t>
  </si>
  <si>
    <t>Fractions 0 à 350 mm</t>
  </si>
  <si>
    <t>ISS E15 PB PAR</t>
  </si>
  <si>
    <t>ISS E15 PAR BAN</t>
  </si>
  <si>
    <t>STO E15 PB PAR</t>
  </si>
  <si>
    <t>STO E15 PB BAN</t>
  </si>
  <si>
    <t>ROM E15 PB PAR</t>
  </si>
  <si>
    <t>ROM E15 PB BAN</t>
  </si>
  <si>
    <t>IV13 E15 PB PAR</t>
  </si>
  <si>
    <t>IV13 E15 PB BAN</t>
  </si>
  <si>
    <t>Moyenne générale</t>
  </si>
  <si>
    <t>Moyenne Paris</t>
  </si>
  <si>
    <t>Moyenne Banlieue</t>
  </si>
  <si>
    <t>Référence ADEME*</t>
  </si>
  <si>
    <t>LI Haute</t>
  </si>
  <si>
    <t>LI Basse</t>
  </si>
  <si>
    <t>Analyse</t>
  </si>
  <si>
    <t>ISS_E15 PAR</t>
  </si>
  <si>
    <t>ISS_E15 BAN</t>
  </si>
  <si>
    <t>STO_E15 PAR</t>
  </si>
  <si>
    <t>STO_E15 BAN</t>
  </si>
  <si>
    <t>ROM_E15 PAR</t>
  </si>
  <si>
    <t>ROM_E15 BAN</t>
  </si>
  <si>
    <t>IV13_E15 PAR</t>
  </si>
  <si>
    <t>IV13_E15 BAN</t>
  </si>
  <si>
    <t>Référence ADEME</t>
  </si>
  <si>
    <t>LI haute</t>
  </si>
  <si>
    <t>Résultats de la "Prestation C"</t>
  </si>
  <si>
    <t>Carbone total</t>
  </si>
  <si>
    <t>PCS/sec expérimental</t>
  </si>
  <si>
    <t>AB</t>
  </si>
  <si>
    <t>Humidité</t>
  </si>
  <si>
    <t>Rappel des Résultats de la "Prestation B"</t>
  </si>
  <si>
    <t>PCS/sec exp. des DIR</t>
  </si>
  <si>
    <t xml:space="preserve">écart PCI/sec exp - PCI/sec cal </t>
  </si>
  <si>
    <t>PCI/brut exp. des DIR</t>
  </si>
  <si>
    <t>écart PCI/brut exp - PCI/brut cal</t>
  </si>
  <si>
    <t>PCI/brut cal. des DIR</t>
  </si>
  <si>
    <t>Comparaison "Prestation B" / "Prestation C"</t>
  </si>
  <si>
    <r>
      <t xml:space="preserve">Ecart Humidité 
</t>
    </r>
    <r>
      <rPr>
        <i/>
        <sz val="8"/>
        <rFont val="Calibri"/>
        <family val="2"/>
        <scheme val="minor"/>
      </rPr>
      <t>(hum C - hum B)/hum B</t>
    </r>
  </si>
  <si>
    <t>Référence MODECOM PCS/sec</t>
  </si>
  <si>
    <r>
      <t xml:space="preserve">Ecart PCS/sec exp.
</t>
    </r>
    <r>
      <rPr>
        <i/>
        <sz val="8"/>
        <rFont val="Calibri"/>
        <family val="2"/>
        <scheme val="minor"/>
      </rPr>
      <t>(valeur C - valeur B)/valeur B</t>
    </r>
  </si>
  <si>
    <t>Référence MODECOM PCI/brut</t>
  </si>
  <si>
    <r>
      <t xml:space="preserve">Ecart PCI/brut exp.
</t>
    </r>
    <r>
      <rPr>
        <i/>
        <sz val="8"/>
        <rFont val="Calibri"/>
        <family val="2"/>
        <scheme val="minor"/>
      </rPr>
      <t>(valeur C - valeur B)/valeur B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</si>
</sst>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43" formatCode="_-* #,##0.00\ _€_-;\-* #,##0.00\ _€_-;_-* &quot;-&quot;??\ _€_-;_-@_-"/>
    <numFmt numFmtId="164" formatCode="h:mm;@"/>
    <numFmt numFmtId="165" formatCode="0.0%"/>
    <numFmt numFmtId="166" formatCode="0.000%"/>
    <numFmt numFmtId="167" formatCode="0.0"/>
    <numFmt numFmtId="168" formatCode="#,##0.0_ ;\-#,##0.0\ "/>
    <numFmt numFmtId="169" formatCode="_-* #,##0.0\ _€_-;\-* #,##0.0\ _€_-;_-* &quot;-&quot;??\ _€_-;_-@_-"/>
    <numFmt numFmtId="170" formatCode="#,##0.0"/>
    <numFmt numFmtId="171" formatCode="0E+00"/>
    <numFmt numFmtId="172" formatCode="#,##0_ ;\-#,##0\ "/>
    <numFmt numFmtId="173" formatCode="#,##0.00_ ;\-#,##0.00\ "/>
  </numFmts>
  <fonts count="7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Arial"/>
      <family val="2"/>
    </font>
    <font>
      <b/>
      <i/>
      <sz val="10"/>
      <color theme="9"/>
      <name val="Calibri"/>
      <family val="2"/>
      <scheme val="minor"/>
    </font>
    <font>
      <b/>
      <i/>
      <sz val="10"/>
      <color theme="4" tint="-0.249977111117893"/>
      <name val="Calibri"/>
      <family val="2"/>
      <scheme val="minor"/>
    </font>
    <font>
      <b/>
      <sz val="10"/>
      <name val="Calibri"/>
      <family val="2"/>
    </font>
    <font>
      <sz val="10"/>
      <name val="Calibri"/>
      <family val="2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Calibri"/>
      <family val="2"/>
    </font>
    <font>
      <b/>
      <i/>
      <sz val="11"/>
      <color theme="1"/>
      <name val="Calibri"/>
      <family val="2"/>
      <scheme val="minor"/>
    </font>
    <font>
      <b/>
      <i/>
      <sz val="12"/>
      <name val="Calibri"/>
      <family val="2"/>
      <scheme val="minor"/>
    </font>
    <font>
      <b/>
      <i/>
      <sz val="1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0"/>
      <color theme="1"/>
      <name val="Arial"/>
      <family val="2"/>
    </font>
    <font>
      <sz val="11"/>
      <color indexed="60"/>
      <name val="Calibri"/>
      <family val="2"/>
    </font>
    <font>
      <sz val="12"/>
      <color theme="1"/>
      <name val="Cambria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1"/>
      <color theme="4"/>
      <name val="Calibri"/>
      <family val="2"/>
      <scheme val="minor"/>
    </font>
    <font>
      <sz val="10"/>
      <name val="Arial"/>
    </font>
    <font>
      <b/>
      <sz val="9"/>
      <color rgb="FF0070C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rgb="FFFFFFFF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rgb="FF0070C0"/>
      <name val="Calibri"/>
      <family val="2"/>
      <scheme val="minor"/>
    </font>
    <font>
      <b/>
      <i/>
      <sz val="9"/>
      <name val="Calibri"/>
      <family val="2"/>
      <scheme val="minor"/>
    </font>
    <font>
      <b/>
      <sz val="9"/>
      <name val="Calibri"/>
      <family val="2"/>
      <scheme val="minor"/>
    </font>
    <font>
      <i/>
      <sz val="9"/>
      <color indexed="8"/>
      <name val="Calibri"/>
      <family val="2"/>
      <scheme val="minor"/>
    </font>
    <font>
      <i/>
      <sz val="9"/>
      <name val="Calibri"/>
      <family val="2"/>
      <scheme val="minor"/>
    </font>
    <font>
      <sz val="9"/>
      <color indexed="8"/>
      <name val="Calibri"/>
      <family val="2"/>
      <scheme val="minor"/>
    </font>
    <font>
      <i/>
      <sz val="8"/>
      <name val="Calibri"/>
      <family val="2"/>
      <scheme val="minor"/>
    </font>
  </fonts>
  <fills count="5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theme="6"/>
        <bgColor indexed="26"/>
      </patternFill>
    </fill>
    <fill>
      <patternFill patternType="solid">
        <fgColor theme="6" tint="0.79998168889431442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26"/>
        <bgColor indexed="9"/>
      </patternFill>
    </fill>
    <fill>
      <patternFill patternType="solid">
        <fgColor indexed="43"/>
        <bgColor indexed="26"/>
      </patternFill>
    </fill>
    <fill>
      <patternFill patternType="solid">
        <fgColor indexed="55"/>
        <bgColor indexed="23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39997558519241921"/>
        <bgColor indexed="26"/>
      </patternFill>
    </fill>
    <fill>
      <patternFill patternType="solid">
        <fgColor theme="6" tint="0.39994506668294322"/>
        <bgColor indexed="26"/>
      </patternFill>
    </fill>
    <fill>
      <patternFill patternType="solid">
        <fgColor theme="6" tint="0.399945066682943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C2D69A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</fills>
  <borders count="1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theme="6"/>
      </left>
      <right/>
      <top style="thin">
        <color theme="6"/>
      </top>
      <bottom style="thin">
        <color theme="6"/>
      </bottom>
      <diagonal/>
    </border>
    <border>
      <left style="thin">
        <color theme="6"/>
      </left>
      <right style="thin">
        <color theme="6"/>
      </right>
      <top/>
      <bottom style="thin">
        <color theme="6"/>
      </bottom>
      <diagonal/>
    </border>
    <border>
      <left style="thin">
        <color theme="6"/>
      </left>
      <right/>
      <top/>
      <bottom style="thin">
        <color theme="6"/>
      </bottom>
      <diagonal/>
    </border>
    <border>
      <left/>
      <right style="thin">
        <color theme="6"/>
      </right>
      <top/>
      <bottom style="thin">
        <color theme="6"/>
      </bottom>
      <diagonal/>
    </border>
    <border>
      <left/>
      <right style="thin">
        <color theme="6"/>
      </right>
      <top style="thin">
        <color theme="6"/>
      </top>
      <bottom style="thin">
        <color theme="6"/>
      </bottom>
      <diagonal/>
    </border>
    <border>
      <left/>
      <right style="thin">
        <color theme="6"/>
      </right>
      <top style="thin">
        <color theme="6"/>
      </top>
      <bottom/>
      <diagonal/>
    </border>
    <border>
      <left style="thin">
        <color theme="6" tint="0.59999389629810485"/>
      </left>
      <right style="thin">
        <color theme="6" tint="0.59999389629810485"/>
      </right>
      <top style="thin">
        <color theme="6" tint="0.59999389629810485"/>
      </top>
      <bottom style="thin">
        <color theme="6" tint="0.59999389629810485"/>
      </bottom>
      <diagonal/>
    </border>
    <border>
      <left style="thin">
        <color theme="6"/>
      </left>
      <right style="thin">
        <color theme="6"/>
      </right>
      <top/>
      <bottom/>
      <diagonal/>
    </border>
    <border>
      <left style="thin">
        <color theme="6"/>
      </left>
      <right style="thin">
        <color theme="6"/>
      </right>
      <top style="thin">
        <color theme="6"/>
      </top>
      <bottom/>
      <diagonal/>
    </border>
    <border>
      <left style="medium">
        <color rgb="FFC2D69A"/>
      </left>
      <right style="medium">
        <color rgb="FFC2D69A"/>
      </right>
      <top/>
      <bottom style="medium">
        <color rgb="FFC2D69A"/>
      </bottom>
      <diagonal/>
    </border>
    <border>
      <left/>
      <right style="medium">
        <color rgb="FFC2D69A"/>
      </right>
      <top/>
      <bottom style="medium">
        <color rgb="FFC2D69A"/>
      </bottom>
      <diagonal/>
    </border>
    <border>
      <left/>
      <right style="medium">
        <color rgb="FFC2D69A"/>
      </right>
      <top/>
      <bottom/>
      <diagonal/>
    </border>
    <border>
      <left/>
      <right/>
      <top/>
      <bottom style="medium">
        <color rgb="FFEAF1DD"/>
      </bottom>
      <diagonal/>
    </border>
    <border>
      <left/>
      <right style="thin">
        <color theme="6"/>
      </right>
      <top/>
      <bottom/>
      <diagonal/>
    </border>
    <border>
      <left style="thin">
        <color rgb="FF9BBB59"/>
      </left>
      <right/>
      <top style="thin">
        <color theme="0"/>
      </top>
      <bottom style="thin">
        <color rgb="FF9BBB59"/>
      </bottom>
      <diagonal/>
    </border>
    <border>
      <left style="thin">
        <color rgb="FF9BBB59"/>
      </left>
      <right/>
      <top/>
      <bottom style="thin">
        <color rgb="FF9BBB59"/>
      </bottom>
      <diagonal/>
    </border>
    <border>
      <left/>
      <right/>
      <top style="thin">
        <color theme="6"/>
      </top>
      <bottom style="thin">
        <color theme="6"/>
      </bottom>
      <diagonal/>
    </border>
    <border>
      <left style="double">
        <color theme="6"/>
      </left>
      <right style="thin">
        <color theme="6"/>
      </right>
      <top/>
      <bottom style="thin">
        <color theme="6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theme="6"/>
      </left>
      <right/>
      <top/>
      <bottom/>
      <diagonal/>
    </border>
    <border>
      <left style="thin">
        <color theme="6"/>
      </left>
      <right/>
      <top style="thin">
        <color theme="6"/>
      </top>
      <bottom/>
      <diagonal/>
    </border>
    <border>
      <left/>
      <right/>
      <top style="thin">
        <color theme="6"/>
      </top>
      <bottom/>
      <diagonal/>
    </border>
    <border>
      <left style="thin">
        <color theme="6"/>
      </left>
      <right style="double">
        <color theme="6"/>
      </right>
      <top style="thin">
        <color theme="6"/>
      </top>
      <bottom style="thin">
        <color theme="6"/>
      </bottom>
      <diagonal/>
    </border>
    <border>
      <left/>
      <right style="double">
        <color theme="0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rgb="FFEAF1DD"/>
      </left>
      <right style="thin">
        <color rgb="FFEAF1DD"/>
      </right>
      <top/>
      <bottom style="thin">
        <color rgb="FFEAF1DD"/>
      </bottom>
      <diagonal/>
    </border>
    <border>
      <left style="medium">
        <color theme="6"/>
      </left>
      <right style="thin">
        <color theme="6" tint="0.79998168889431442"/>
      </right>
      <top style="medium">
        <color theme="6"/>
      </top>
      <bottom style="thin">
        <color theme="6" tint="0.79998168889431442"/>
      </bottom>
      <diagonal/>
    </border>
    <border>
      <left style="thin">
        <color theme="6" tint="0.79998168889431442"/>
      </left>
      <right style="thin">
        <color theme="6" tint="0.79998168889431442"/>
      </right>
      <top style="medium">
        <color theme="6"/>
      </top>
      <bottom style="thin">
        <color theme="6" tint="0.79998168889431442"/>
      </bottom>
      <diagonal/>
    </border>
    <border>
      <left style="thin">
        <color theme="6" tint="0.79998168889431442"/>
      </left>
      <right style="medium">
        <color theme="6"/>
      </right>
      <top style="medium">
        <color theme="6"/>
      </top>
      <bottom style="thin">
        <color theme="6" tint="0.79998168889431442"/>
      </bottom>
      <diagonal/>
    </border>
    <border>
      <left style="medium">
        <color theme="6"/>
      </left>
      <right style="thin">
        <color theme="6" tint="0.79998168889431442"/>
      </right>
      <top style="thin">
        <color theme="6" tint="0.79998168889431442"/>
      </top>
      <bottom/>
      <diagonal/>
    </border>
    <border>
      <left style="thin">
        <color theme="6"/>
      </left>
      <right style="medium">
        <color theme="6"/>
      </right>
      <top/>
      <bottom style="thin">
        <color theme="6"/>
      </bottom>
      <diagonal/>
    </border>
    <border>
      <left style="medium">
        <color theme="6"/>
      </left>
      <right style="thin">
        <color theme="6" tint="0.79998168889431442"/>
      </right>
      <top/>
      <bottom/>
      <diagonal/>
    </border>
    <border>
      <left style="thin">
        <color theme="6"/>
      </left>
      <right style="medium">
        <color theme="6"/>
      </right>
      <top style="thin">
        <color theme="6"/>
      </top>
      <bottom style="thin">
        <color theme="6"/>
      </bottom>
      <diagonal/>
    </border>
    <border>
      <left style="medium">
        <color theme="6"/>
      </left>
      <right style="thin">
        <color theme="6" tint="0.79998168889431442"/>
      </right>
      <top/>
      <bottom style="thin">
        <color theme="6" tint="0.79998168889431442"/>
      </bottom>
      <diagonal/>
    </border>
    <border>
      <left style="medium">
        <color theme="6"/>
      </left>
      <right style="thin">
        <color theme="6" tint="0.79998168889431442"/>
      </right>
      <top style="thin">
        <color theme="6" tint="0.79998168889431442"/>
      </top>
      <bottom style="thin">
        <color theme="6" tint="0.79998168889431442"/>
      </bottom>
      <diagonal/>
    </border>
    <border>
      <left style="medium">
        <color theme="6"/>
      </left>
      <right/>
      <top/>
      <bottom/>
      <diagonal/>
    </border>
    <border>
      <left/>
      <right style="medium">
        <color theme="6"/>
      </right>
      <top/>
      <bottom style="medium">
        <color rgb="FFC2D69A"/>
      </bottom>
      <diagonal/>
    </border>
    <border>
      <left style="thin">
        <color theme="6"/>
      </left>
      <right style="medium">
        <color theme="6"/>
      </right>
      <top style="thin">
        <color theme="6"/>
      </top>
      <bottom/>
      <diagonal/>
    </border>
    <border>
      <left style="medium">
        <color theme="6"/>
      </left>
      <right/>
      <top style="thin">
        <color theme="6" tint="0.79998168889431442"/>
      </top>
      <bottom style="thin">
        <color theme="6" tint="0.79998168889431442"/>
      </bottom>
      <diagonal/>
    </border>
    <border>
      <left style="medium">
        <color theme="6"/>
      </left>
      <right/>
      <top/>
      <bottom style="medium">
        <color rgb="FFEAF1DD"/>
      </bottom>
      <diagonal/>
    </border>
    <border>
      <left style="thin">
        <color rgb="FFEAF1DD"/>
      </left>
      <right style="medium">
        <color theme="6"/>
      </right>
      <top/>
      <bottom style="thin">
        <color rgb="FFEAF1DD"/>
      </bottom>
      <diagonal/>
    </border>
    <border>
      <left style="medium">
        <color theme="6"/>
      </left>
      <right/>
      <top style="medium">
        <color rgb="FFEAF1DD"/>
      </top>
      <bottom style="medium">
        <color theme="6"/>
      </bottom>
      <diagonal/>
    </border>
    <border>
      <left/>
      <right style="thin">
        <color rgb="FFEAF1DD"/>
      </right>
      <top style="medium">
        <color rgb="FFEAF1DD"/>
      </top>
      <bottom style="medium">
        <color theme="6"/>
      </bottom>
      <diagonal/>
    </border>
    <border>
      <left style="thin">
        <color rgb="FFEAF1DD"/>
      </left>
      <right style="thin">
        <color rgb="FFEAF1DD"/>
      </right>
      <top style="thin">
        <color rgb="FFEAF1DD"/>
      </top>
      <bottom style="medium">
        <color theme="6"/>
      </bottom>
      <diagonal/>
    </border>
    <border>
      <left style="thin">
        <color rgb="FFEAF1DD"/>
      </left>
      <right style="medium">
        <color theme="6"/>
      </right>
      <top style="thin">
        <color rgb="FFEAF1DD"/>
      </top>
      <bottom style="medium">
        <color theme="6"/>
      </bottom>
      <diagonal/>
    </border>
    <border>
      <left/>
      <right/>
      <top style="medium">
        <color rgb="FFFFFFFF"/>
      </top>
      <bottom/>
      <diagonal/>
    </border>
    <border>
      <left style="medium">
        <color theme="0"/>
      </left>
      <right style="medium">
        <color rgb="FFFFFFFF"/>
      </right>
      <top/>
      <bottom/>
      <diagonal/>
    </border>
    <border>
      <left/>
      <right style="medium">
        <color rgb="FFFFFFFF"/>
      </right>
      <top/>
      <bottom/>
      <diagonal/>
    </border>
    <border>
      <left/>
      <right style="medium">
        <color theme="0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</borders>
  <cellStyleXfs count="1287">
    <xf numFmtId="0" fontId="0" fillId="0" borderId="0"/>
    <xf numFmtId="9" fontId="1" fillId="0" borderId="0" applyFont="0" applyFill="0" applyBorder="0" applyAlignment="0" applyProtection="0"/>
    <xf numFmtId="0" fontId="10" fillId="0" borderId="0"/>
    <xf numFmtId="9" fontId="29" fillId="0" borderId="0" applyFont="0" applyFill="0" applyBorder="0" applyAlignment="0" applyProtection="0"/>
    <xf numFmtId="0" fontId="30" fillId="9" borderId="0" applyNumberFormat="0" applyBorder="0" applyAlignment="0" applyProtection="0"/>
    <xf numFmtId="0" fontId="30" fillId="10" borderId="0" applyNumberFormat="0" applyBorder="0" applyAlignment="0" applyProtection="0"/>
    <xf numFmtId="0" fontId="30" fillId="11" borderId="0" applyNumberFormat="0" applyBorder="0" applyAlignment="0" applyProtection="0"/>
    <xf numFmtId="0" fontId="30" fillId="12" borderId="0" applyNumberFormat="0" applyBorder="0" applyAlignment="0" applyProtection="0"/>
    <xf numFmtId="0" fontId="30" fillId="13" borderId="0" applyNumberFormat="0" applyBorder="0" applyAlignment="0" applyProtection="0"/>
    <xf numFmtId="0" fontId="30" fillId="14" borderId="0" applyNumberFormat="0" applyBorder="0" applyAlignment="0" applyProtection="0"/>
    <xf numFmtId="0" fontId="30" fillId="15" borderId="0" applyNumberFormat="0" applyBorder="0" applyAlignment="0" applyProtection="0"/>
    <xf numFmtId="0" fontId="30" fillId="16" borderId="0" applyNumberFormat="0" applyBorder="0" applyAlignment="0" applyProtection="0"/>
    <xf numFmtId="0" fontId="30" fillId="17" borderId="0" applyNumberFormat="0" applyBorder="0" applyAlignment="0" applyProtection="0"/>
    <xf numFmtId="0" fontId="30" fillId="12" borderId="0" applyNumberFormat="0" applyBorder="0" applyAlignment="0" applyProtection="0"/>
    <xf numFmtId="0" fontId="30" fillId="15" borderId="0" applyNumberFormat="0" applyBorder="0" applyAlignment="0" applyProtection="0"/>
    <xf numFmtId="0" fontId="30" fillId="18" borderId="0" applyNumberFormat="0" applyBorder="0" applyAlignment="0" applyProtection="0"/>
    <xf numFmtId="0" fontId="31" fillId="19" borderId="0" applyNumberFormat="0" applyBorder="0" applyAlignment="0" applyProtection="0"/>
    <xf numFmtId="0" fontId="31" fillId="16" borderId="0" applyNumberFormat="0" applyBorder="0" applyAlignment="0" applyProtection="0"/>
    <xf numFmtId="0" fontId="31" fillId="17" borderId="0" applyNumberFormat="0" applyBorder="0" applyAlignment="0" applyProtection="0"/>
    <xf numFmtId="0" fontId="31" fillId="20" borderId="0" applyNumberFormat="0" applyBorder="0" applyAlignment="0" applyProtection="0"/>
    <xf numFmtId="0" fontId="31" fillId="21" borderId="0" applyNumberFormat="0" applyBorder="0" applyAlignment="0" applyProtection="0"/>
    <xf numFmtId="0" fontId="31" fillId="22" borderId="0" applyNumberFormat="0" applyBorder="0" applyAlignment="0" applyProtection="0"/>
    <xf numFmtId="0" fontId="31" fillId="23" borderId="0" applyNumberFormat="0" applyBorder="0" applyAlignment="0" applyProtection="0"/>
    <xf numFmtId="0" fontId="31" fillId="24" borderId="0" applyNumberFormat="0" applyBorder="0" applyAlignment="0" applyProtection="0"/>
    <xf numFmtId="0" fontId="31" fillId="25" borderId="0" applyNumberFormat="0" applyBorder="0" applyAlignment="0" applyProtection="0"/>
    <xf numFmtId="0" fontId="31" fillId="20" borderId="0" applyNumberFormat="0" applyBorder="0" applyAlignment="0" applyProtection="0"/>
    <xf numFmtId="0" fontId="31" fillId="21" borderId="0" applyNumberFormat="0" applyBorder="0" applyAlignment="0" applyProtection="0"/>
    <xf numFmtId="0" fontId="31" fillId="26" borderId="0" applyNumberFormat="0" applyBorder="0" applyAlignment="0" applyProtection="0"/>
    <xf numFmtId="0" fontId="32" fillId="0" borderId="0" applyNumberFormat="0" applyFill="0" applyBorder="0" applyAlignment="0" applyProtection="0"/>
    <xf numFmtId="0" fontId="33" fillId="27" borderId="33" applyNumberFormat="0" applyAlignment="0" applyProtection="0"/>
    <xf numFmtId="0" fontId="33" fillId="27" borderId="33" applyNumberFormat="0" applyAlignment="0" applyProtection="0"/>
    <xf numFmtId="0" fontId="33" fillId="27" borderId="33" applyNumberFormat="0" applyAlignment="0" applyProtection="0"/>
    <xf numFmtId="0" fontId="33" fillId="27" borderId="33" applyNumberFormat="0" applyAlignment="0" applyProtection="0"/>
    <xf numFmtId="0" fontId="33" fillId="27" borderId="33" applyNumberFormat="0" applyAlignment="0" applyProtection="0"/>
    <xf numFmtId="0" fontId="33" fillId="27" borderId="33" applyNumberFormat="0" applyAlignment="0" applyProtection="0"/>
    <xf numFmtId="0" fontId="33" fillId="27" borderId="33" applyNumberFormat="0" applyAlignment="0" applyProtection="0"/>
    <xf numFmtId="0" fontId="33" fillId="27" borderId="33" applyNumberFormat="0" applyAlignment="0" applyProtection="0"/>
    <xf numFmtId="0" fontId="33" fillId="27" borderId="33" applyNumberFormat="0" applyAlignment="0" applyProtection="0"/>
    <xf numFmtId="0" fontId="33" fillId="27" borderId="33" applyNumberFormat="0" applyAlignment="0" applyProtection="0"/>
    <xf numFmtId="0" fontId="33" fillId="27" borderId="33" applyNumberFormat="0" applyAlignment="0" applyProtection="0"/>
    <xf numFmtId="0" fontId="33" fillId="27" borderId="33" applyNumberFormat="0" applyAlignment="0" applyProtection="0"/>
    <xf numFmtId="0" fontId="33" fillId="27" borderId="33" applyNumberFormat="0" applyAlignment="0" applyProtection="0"/>
    <xf numFmtId="0" fontId="33" fillId="27" borderId="33" applyNumberFormat="0" applyAlignment="0" applyProtection="0"/>
    <xf numFmtId="0" fontId="33" fillId="27" borderId="33" applyNumberFormat="0" applyAlignment="0" applyProtection="0"/>
    <xf numFmtId="0" fontId="33" fillId="27" borderId="33" applyNumberFormat="0" applyAlignment="0" applyProtection="0"/>
    <xf numFmtId="0" fontId="33" fillId="27" borderId="33" applyNumberFormat="0" applyAlignment="0" applyProtection="0"/>
    <xf numFmtId="0" fontId="33" fillId="27" borderId="33" applyNumberFormat="0" applyAlignment="0" applyProtection="0"/>
    <xf numFmtId="0" fontId="33" fillId="27" borderId="33" applyNumberFormat="0" applyAlignment="0" applyProtection="0"/>
    <xf numFmtId="0" fontId="33" fillId="27" borderId="33" applyNumberFormat="0" applyAlignment="0" applyProtection="0"/>
    <xf numFmtId="0" fontId="33" fillId="27" borderId="33" applyNumberFormat="0" applyAlignment="0" applyProtection="0"/>
    <xf numFmtId="0" fontId="33" fillId="27" borderId="33" applyNumberFormat="0" applyAlignment="0" applyProtection="0"/>
    <xf numFmtId="0" fontId="33" fillId="27" borderId="33" applyNumberFormat="0" applyAlignment="0" applyProtection="0"/>
    <xf numFmtId="0" fontId="33" fillId="27" borderId="33" applyNumberFormat="0" applyAlignment="0" applyProtection="0"/>
    <xf numFmtId="0" fontId="34" fillId="0" borderId="34" applyNumberFormat="0" applyFill="0" applyAlignment="0" applyProtection="0"/>
    <xf numFmtId="0" fontId="29" fillId="28" borderId="35" applyNumberFormat="0" applyAlignment="0" applyProtection="0"/>
    <xf numFmtId="0" fontId="29" fillId="28" borderId="35" applyNumberFormat="0" applyAlignment="0" applyProtection="0"/>
    <xf numFmtId="0" fontId="29" fillId="28" borderId="35" applyNumberFormat="0" applyAlignment="0" applyProtection="0"/>
    <xf numFmtId="0" fontId="29" fillId="28" borderId="35" applyNumberFormat="0" applyAlignment="0" applyProtection="0"/>
    <xf numFmtId="0" fontId="29" fillId="28" borderId="35" applyNumberFormat="0" applyAlignment="0" applyProtection="0"/>
    <xf numFmtId="0" fontId="29" fillId="28" borderId="35" applyNumberFormat="0" applyAlignment="0" applyProtection="0"/>
    <xf numFmtId="0" fontId="29" fillId="28" borderId="35" applyNumberFormat="0" applyAlignment="0" applyProtection="0"/>
    <xf numFmtId="0" fontId="29" fillId="28" borderId="35" applyNumberFormat="0" applyAlignment="0" applyProtection="0"/>
    <xf numFmtId="0" fontId="29" fillId="28" borderId="35" applyNumberFormat="0" applyAlignment="0" applyProtection="0"/>
    <xf numFmtId="0" fontId="29" fillId="28" borderId="35" applyNumberFormat="0" applyAlignment="0" applyProtection="0"/>
    <xf numFmtId="0" fontId="29" fillId="28" borderId="35" applyNumberFormat="0" applyAlignment="0" applyProtection="0"/>
    <xf numFmtId="0" fontId="29" fillId="28" borderId="35" applyNumberFormat="0" applyAlignment="0" applyProtection="0"/>
    <xf numFmtId="0" fontId="29" fillId="28" borderId="35" applyNumberFormat="0" applyAlignment="0" applyProtection="0"/>
    <xf numFmtId="0" fontId="29" fillId="28" borderId="35" applyNumberFormat="0" applyAlignment="0" applyProtection="0"/>
    <xf numFmtId="0" fontId="29" fillId="28" borderId="35" applyNumberFormat="0" applyAlignment="0" applyProtection="0"/>
    <xf numFmtId="0" fontId="29" fillId="28" borderId="35" applyNumberFormat="0" applyAlignment="0" applyProtection="0"/>
    <xf numFmtId="0" fontId="29" fillId="28" borderId="35" applyNumberFormat="0" applyAlignment="0" applyProtection="0"/>
    <xf numFmtId="0" fontId="29" fillId="28" borderId="35" applyNumberFormat="0" applyAlignment="0" applyProtection="0"/>
    <xf numFmtId="0" fontId="29" fillId="28" borderId="35" applyNumberFormat="0" applyAlignment="0" applyProtection="0"/>
    <xf numFmtId="0" fontId="29" fillId="28" borderId="35" applyNumberFormat="0" applyAlignment="0" applyProtection="0"/>
    <xf numFmtId="0" fontId="29" fillId="28" borderId="35" applyNumberFormat="0" applyAlignment="0" applyProtection="0"/>
    <xf numFmtId="0" fontId="29" fillId="28" borderId="35" applyNumberFormat="0" applyAlignment="0" applyProtection="0"/>
    <xf numFmtId="0" fontId="29" fillId="28" borderId="35" applyNumberFormat="0" applyAlignment="0" applyProtection="0"/>
    <xf numFmtId="0" fontId="29" fillId="28" borderId="35" applyNumberFormat="0" applyAlignment="0" applyProtection="0"/>
    <xf numFmtId="0" fontId="35" fillId="14" borderId="33" applyNumberFormat="0" applyAlignment="0" applyProtection="0"/>
    <xf numFmtId="0" fontId="35" fillId="14" borderId="33" applyNumberFormat="0" applyAlignment="0" applyProtection="0"/>
    <xf numFmtId="0" fontId="35" fillId="14" borderId="33" applyNumberFormat="0" applyAlignment="0" applyProtection="0"/>
    <xf numFmtId="0" fontId="35" fillId="14" borderId="33" applyNumberFormat="0" applyAlignment="0" applyProtection="0"/>
    <xf numFmtId="0" fontId="35" fillId="14" borderId="33" applyNumberFormat="0" applyAlignment="0" applyProtection="0"/>
    <xf numFmtId="0" fontId="35" fillId="14" borderId="33" applyNumberFormat="0" applyAlignment="0" applyProtection="0"/>
    <xf numFmtId="0" fontId="35" fillId="14" borderId="33" applyNumberFormat="0" applyAlignment="0" applyProtection="0"/>
    <xf numFmtId="0" fontId="35" fillId="14" borderId="33" applyNumberFormat="0" applyAlignment="0" applyProtection="0"/>
    <xf numFmtId="0" fontId="35" fillId="14" borderId="33" applyNumberFormat="0" applyAlignment="0" applyProtection="0"/>
    <xf numFmtId="0" fontId="35" fillId="14" borderId="33" applyNumberFormat="0" applyAlignment="0" applyProtection="0"/>
    <xf numFmtId="0" fontId="35" fillId="14" borderId="33" applyNumberFormat="0" applyAlignment="0" applyProtection="0"/>
    <xf numFmtId="0" fontId="35" fillId="14" borderId="33" applyNumberFormat="0" applyAlignment="0" applyProtection="0"/>
    <xf numFmtId="0" fontId="35" fillId="14" borderId="33" applyNumberFormat="0" applyAlignment="0" applyProtection="0"/>
    <xf numFmtId="0" fontId="35" fillId="14" borderId="33" applyNumberFormat="0" applyAlignment="0" applyProtection="0"/>
    <xf numFmtId="0" fontId="35" fillId="14" borderId="33" applyNumberFormat="0" applyAlignment="0" applyProtection="0"/>
    <xf numFmtId="0" fontId="35" fillId="14" borderId="33" applyNumberFormat="0" applyAlignment="0" applyProtection="0"/>
    <xf numFmtId="0" fontId="35" fillId="14" borderId="33" applyNumberFormat="0" applyAlignment="0" applyProtection="0"/>
    <xf numFmtId="0" fontId="35" fillId="14" borderId="33" applyNumberFormat="0" applyAlignment="0" applyProtection="0"/>
    <xf numFmtId="0" fontId="35" fillId="14" borderId="33" applyNumberFormat="0" applyAlignment="0" applyProtection="0"/>
    <xf numFmtId="0" fontId="35" fillId="14" borderId="33" applyNumberFormat="0" applyAlignment="0" applyProtection="0"/>
    <xf numFmtId="0" fontId="35" fillId="14" borderId="33" applyNumberFormat="0" applyAlignment="0" applyProtection="0"/>
    <xf numFmtId="0" fontId="35" fillId="14" borderId="33" applyNumberFormat="0" applyAlignment="0" applyProtection="0"/>
    <xf numFmtId="0" fontId="35" fillId="14" borderId="33" applyNumberFormat="0" applyAlignment="0" applyProtection="0"/>
    <xf numFmtId="0" fontId="35" fillId="14" borderId="33" applyNumberFormat="0" applyAlignment="0" applyProtection="0"/>
    <xf numFmtId="0" fontId="36" fillId="10" borderId="0" applyNumberFormat="0" applyBorder="0" applyAlignment="0" applyProtection="0"/>
    <xf numFmtId="43" fontId="29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38" fillId="29" borderId="0" applyNumberFormat="0" applyBorder="0" applyAlignment="0" applyProtection="0"/>
    <xf numFmtId="0" fontId="30" fillId="0" borderId="0"/>
    <xf numFmtId="0" fontId="30" fillId="0" borderId="0"/>
    <xf numFmtId="0" fontId="1" fillId="0" borderId="0"/>
    <xf numFmtId="0" fontId="10" fillId="0" borderId="0"/>
    <xf numFmtId="0" fontId="29" fillId="0" borderId="0"/>
    <xf numFmtId="0" fontId="29" fillId="0" borderId="0"/>
    <xf numFmtId="0" fontId="37" fillId="0" borderId="0"/>
    <xf numFmtId="0" fontId="39" fillId="0" borderId="0"/>
    <xf numFmtId="9" fontId="10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" fillId="0" borderId="0" applyFill="0" applyBorder="0" applyAlignment="0" applyProtection="0"/>
    <xf numFmtId="9" fontId="37" fillId="0" borderId="0" applyFont="0" applyFill="0" applyBorder="0" applyAlignment="0" applyProtection="0"/>
    <xf numFmtId="0" fontId="40" fillId="11" borderId="0" applyNumberFormat="0" applyBorder="0" applyAlignment="0" applyProtection="0"/>
    <xf numFmtId="0" fontId="41" fillId="27" borderId="36" applyNumberFormat="0" applyAlignment="0" applyProtection="0"/>
    <xf numFmtId="0" fontId="41" fillId="27" borderId="36" applyNumberFormat="0" applyAlignment="0" applyProtection="0"/>
    <xf numFmtId="0" fontId="41" fillId="27" borderId="36" applyNumberFormat="0" applyAlignment="0" applyProtection="0"/>
    <xf numFmtId="0" fontId="41" fillId="27" borderId="36" applyNumberFormat="0" applyAlignment="0" applyProtection="0"/>
    <xf numFmtId="0" fontId="41" fillId="27" borderId="36" applyNumberFormat="0" applyAlignment="0" applyProtection="0"/>
    <xf numFmtId="0" fontId="41" fillId="27" borderId="36" applyNumberFormat="0" applyAlignment="0" applyProtection="0"/>
    <xf numFmtId="0" fontId="41" fillId="27" borderId="36" applyNumberFormat="0" applyAlignment="0" applyProtection="0"/>
    <xf numFmtId="0" fontId="41" fillId="27" borderId="36" applyNumberFormat="0" applyAlignment="0" applyProtection="0"/>
    <xf numFmtId="0" fontId="41" fillId="27" borderId="36" applyNumberFormat="0" applyAlignment="0" applyProtection="0"/>
    <xf numFmtId="0" fontId="41" fillId="27" borderId="36" applyNumberFormat="0" applyAlignment="0" applyProtection="0"/>
    <xf numFmtId="0" fontId="41" fillId="27" borderId="36" applyNumberFormat="0" applyAlignment="0" applyProtection="0"/>
    <xf numFmtId="0" fontId="41" fillId="27" borderId="36" applyNumberFormat="0" applyAlignment="0" applyProtection="0"/>
    <xf numFmtId="0" fontId="41" fillId="27" borderId="36" applyNumberFormat="0" applyAlignment="0" applyProtection="0"/>
    <xf numFmtId="0" fontId="41" fillId="27" borderId="36" applyNumberFormat="0" applyAlignment="0" applyProtection="0"/>
    <xf numFmtId="0" fontId="41" fillId="27" borderId="36" applyNumberFormat="0" applyAlignment="0" applyProtection="0"/>
    <xf numFmtId="0" fontId="41" fillId="27" borderId="36" applyNumberFormat="0" applyAlignment="0" applyProtection="0"/>
    <xf numFmtId="0" fontId="41" fillId="27" borderId="36" applyNumberFormat="0" applyAlignment="0" applyProtection="0"/>
    <xf numFmtId="0" fontId="41" fillId="27" borderId="36" applyNumberFormat="0" applyAlignment="0" applyProtection="0"/>
    <xf numFmtId="0" fontId="41" fillId="27" borderId="36" applyNumberFormat="0" applyAlignment="0" applyProtection="0"/>
    <xf numFmtId="0" fontId="41" fillId="27" borderId="36" applyNumberFormat="0" applyAlignment="0" applyProtection="0"/>
    <xf numFmtId="0" fontId="41" fillId="27" borderId="36" applyNumberFormat="0" applyAlignment="0" applyProtection="0"/>
    <xf numFmtId="0" fontId="41" fillId="27" borderId="36" applyNumberFormat="0" applyAlignment="0" applyProtection="0"/>
    <xf numFmtId="0" fontId="41" fillId="27" borderId="36" applyNumberFormat="0" applyAlignment="0" applyProtection="0"/>
    <xf numFmtId="0" fontId="41" fillId="27" borderId="36" applyNumberFormat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37" applyNumberFormat="0" applyFill="0" applyAlignment="0" applyProtection="0"/>
    <xf numFmtId="0" fontId="45" fillId="0" borderId="38" applyNumberFormat="0" applyFill="0" applyAlignment="0" applyProtection="0"/>
    <xf numFmtId="0" fontId="46" fillId="0" borderId="39" applyNumberFormat="0" applyFill="0" applyAlignment="0" applyProtection="0"/>
    <xf numFmtId="0" fontId="46" fillId="0" borderId="0" applyNumberFormat="0" applyFill="0" applyBorder="0" applyAlignment="0" applyProtection="0"/>
    <xf numFmtId="0" fontId="47" fillId="0" borderId="40" applyNumberFormat="0" applyFill="0" applyAlignment="0" applyProtection="0"/>
    <xf numFmtId="0" fontId="47" fillId="0" borderId="40" applyNumberFormat="0" applyFill="0" applyAlignment="0" applyProtection="0"/>
    <xf numFmtId="0" fontId="47" fillId="0" borderId="40" applyNumberFormat="0" applyFill="0" applyAlignment="0" applyProtection="0"/>
    <xf numFmtId="0" fontId="47" fillId="0" borderId="40" applyNumberFormat="0" applyFill="0" applyAlignment="0" applyProtection="0"/>
    <xf numFmtId="0" fontId="47" fillId="0" borderId="40" applyNumberFormat="0" applyFill="0" applyAlignment="0" applyProtection="0"/>
    <xf numFmtId="0" fontId="47" fillId="0" borderId="40" applyNumberFormat="0" applyFill="0" applyAlignment="0" applyProtection="0"/>
    <xf numFmtId="0" fontId="47" fillId="0" borderId="40" applyNumberFormat="0" applyFill="0" applyAlignment="0" applyProtection="0"/>
    <xf numFmtId="0" fontId="47" fillId="0" borderId="40" applyNumberFormat="0" applyFill="0" applyAlignment="0" applyProtection="0"/>
    <xf numFmtId="0" fontId="47" fillId="0" borderId="40" applyNumberFormat="0" applyFill="0" applyAlignment="0" applyProtection="0"/>
    <xf numFmtId="0" fontId="47" fillId="0" borderId="40" applyNumberFormat="0" applyFill="0" applyAlignment="0" applyProtection="0"/>
    <xf numFmtId="0" fontId="47" fillId="0" borderId="40" applyNumberFormat="0" applyFill="0" applyAlignment="0" applyProtection="0"/>
    <xf numFmtId="0" fontId="47" fillId="0" borderId="40" applyNumberFormat="0" applyFill="0" applyAlignment="0" applyProtection="0"/>
    <xf numFmtId="0" fontId="47" fillId="0" borderId="40" applyNumberFormat="0" applyFill="0" applyAlignment="0" applyProtection="0"/>
    <xf numFmtId="0" fontId="47" fillId="0" borderId="40" applyNumberFormat="0" applyFill="0" applyAlignment="0" applyProtection="0"/>
    <xf numFmtId="0" fontId="47" fillId="0" borderId="40" applyNumberFormat="0" applyFill="0" applyAlignment="0" applyProtection="0"/>
    <xf numFmtId="0" fontId="47" fillId="0" borderId="40" applyNumberFormat="0" applyFill="0" applyAlignment="0" applyProtection="0"/>
    <xf numFmtId="0" fontId="47" fillId="0" borderId="40" applyNumberFormat="0" applyFill="0" applyAlignment="0" applyProtection="0"/>
    <xf numFmtId="0" fontId="47" fillId="0" borderId="40" applyNumberFormat="0" applyFill="0" applyAlignment="0" applyProtection="0"/>
    <xf numFmtId="0" fontId="47" fillId="0" borderId="40" applyNumberFormat="0" applyFill="0" applyAlignment="0" applyProtection="0"/>
    <xf numFmtId="0" fontId="47" fillId="0" borderId="40" applyNumberFormat="0" applyFill="0" applyAlignment="0" applyProtection="0"/>
    <xf numFmtId="0" fontId="47" fillId="0" borderId="40" applyNumberFormat="0" applyFill="0" applyAlignment="0" applyProtection="0"/>
    <xf numFmtId="0" fontId="47" fillId="0" borderId="40" applyNumberFormat="0" applyFill="0" applyAlignment="0" applyProtection="0"/>
    <xf numFmtId="0" fontId="47" fillId="0" borderId="40" applyNumberFormat="0" applyFill="0" applyAlignment="0" applyProtection="0"/>
    <xf numFmtId="0" fontId="47" fillId="0" borderId="40" applyNumberFormat="0" applyFill="0" applyAlignment="0" applyProtection="0"/>
    <xf numFmtId="0" fontId="48" fillId="30" borderId="41" applyNumberFormat="0" applyAlignment="0" applyProtection="0"/>
    <xf numFmtId="0" fontId="29" fillId="0" borderId="0"/>
    <xf numFmtId="43" fontId="10" fillId="0" borderId="0" applyFont="0" applyFill="0" applyBorder="0" applyAlignment="0" applyProtection="0"/>
    <xf numFmtId="0" fontId="33" fillId="27" borderId="33" applyNumberFormat="0" applyAlignment="0" applyProtection="0"/>
    <xf numFmtId="0" fontId="33" fillId="27" borderId="33" applyNumberFormat="0" applyAlignment="0" applyProtection="0"/>
    <xf numFmtId="0" fontId="33" fillId="27" borderId="33" applyNumberFormat="0" applyAlignment="0" applyProtection="0"/>
    <xf numFmtId="0" fontId="33" fillId="27" borderId="33" applyNumberFormat="0" applyAlignment="0" applyProtection="0"/>
    <xf numFmtId="0" fontId="33" fillId="27" borderId="33" applyNumberFormat="0" applyAlignment="0" applyProtection="0"/>
    <xf numFmtId="0" fontId="33" fillId="27" borderId="33" applyNumberFormat="0" applyAlignment="0" applyProtection="0"/>
    <xf numFmtId="0" fontId="33" fillId="27" borderId="33" applyNumberFormat="0" applyAlignment="0" applyProtection="0"/>
    <xf numFmtId="0" fontId="33" fillId="27" borderId="33" applyNumberFormat="0" applyAlignment="0" applyProtection="0"/>
    <xf numFmtId="0" fontId="33" fillId="27" borderId="33" applyNumberFormat="0" applyAlignment="0" applyProtection="0"/>
    <xf numFmtId="0" fontId="33" fillId="27" borderId="33" applyNumberFormat="0" applyAlignment="0" applyProtection="0"/>
    <xf numFmtId="0" fontId="33" fillId="27" borderId="33" applyNumberFormat="0" applyAlignment="0" applyProtection="0"/>
    <xf numFmtId="0" fontId="33" fillId="27" borderId="33" applyNumberFormat="0" applyAlignment="0" applyProtection="0"/>
    <xf numFmtId="0" fontId="33" fillId="27" borderId="33" applyNumberFormat="0" applyAlignment="0" applyProtection="0"/>
    <xf numFmtId="0" fontId="33" fillId="27" borderId="33" applyNumberFormat="0" applyAlignment="0" applyProtection="0"/>
    <xf numFmtId="0" fontId="33" fillId="27" borderId="33" applyNumberFormat="0" applyAlignment="0" applyProtection="0"/>
    <xf numFmtId="0" fontId="33" fillId="27" borderId="33" applyNumberFormat="0" applyAlignment="0" applyProtection="0"/>
    <xf numFmtId="0" fontId="33" fillId="27" borderId="33" applyNumberFormat="0" applyAlignment="0" applyProtection="0"/>
    <xf numFmtId="0" fontId="33" fillId="27" borderId="33" applyNumberFormat="0" applyAlignment="0" applyProtection="0"/>
    <xf numFmtId="0" fontId="33" fillId="27" borderId="33" applyNumberFormat="0" applyAlignment="0" applyProtection="0"/>
    <xf numFmtId="0" fontId="33" fillId="27" borderId="33" applyNumberFormat="0" applyAlignment="0" applyProtection="0"/>
    <xf numFmtId="0" fontId="33" fillId="27" borderId="33" applyNumberFormat="0" applyAlignment="0" applyProtection="0"/>
    <xf numFmtId="0" fontId="33" fillId="27" borderId="33" applyNumberFormat="0" applyAlignment="0" applyProtection="0"/>
    <xf numFmtId="0" fontId="33" fillId="27" borderId="33" applyNumberFormat="0" applyAlignment="0" applyProtection="0"/>
    <xf numFmtId="0" fontId="33" fillId="27" borderId="33" applyNumberFormat="0" applyAlignment="0" applyProtection="0"/>
    <xf numFmtId="0" fontId="33" fillId="27" borderId="33" applyNumberFormat="0" applyAlignment="0" applyProtection="0"/>
    <xf numFmtId="0" fontId="33" fillId="27" borderId="33" applyNumberFormat="0" applyAlignment="0" applyProtection="0"/>
    <xf numFmtId="0" fontId="33" fillId="27" borderId="33" applyNumberFormat="0" applyAlignment="0" applyProtection="0"/>
    <xf numFmtId="0" fontId="33" fillId="27" borderId="33" applyNumberFormat="0" applyAlignment="0" applyProtection="0"/>
    <xf numFmtId="0" fontId="33" fillId="27" borderId="33" applyNumberFormat="0" applyAlignment="0" applyProtection="0"/>
    <xf numFmtId="0" fontId="33" fillId="27" borderId="33" applyNumberFormat="0" applyAlignment="0" applyProtection="0"/>
    <xf numFmtId="0" fontId="33" fillId="27" borderId="33" applyNumberFormat="0" applyAlignment="0" applyProtection="0"/>
    <xf numFmtId="0" fontId="33" fillId="27" borderId="33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35" fillId="14" borderId="33" applyNumberFormat="0" applyAlignment="0" applyProtection="0"/>
    <xf numFmtId="0" fontId="35" fillId="14" borderId="33" applyNumberFormat="0" applyAlignment="0" applyProtection="0"/>
    <xf numFmtId="0" fontId="35" fillId="14" borderId="33" applyNumberFormat="0" applyAlignment="0" applyProtection="0"/>
    <xf numFmtId="0" fontId="35" fillId="14" borderId="33" applyNumberFormat="0" applyAlignment="0" applyProtection="0"/>
    <xf numFmtId="0" fontId="35" fillId="14" borderId="33" applyNumberFormat="0" applyAlignment="0" applyProtection="0"/>
    <xf numFmtId="0" fontId="35" fillId="14" borderId="33" applyNumberFormat="0" applyAlignment="0" applyProtection="0"/>
    <xf numFmtId="0" fontId="35" fillId="14" borderId="33" applyNumberFormat="0" applyAlignment="0" applyProtection="0"/>
    <xf numFmtId="0" fontId="35" fillId="14" borderId="33" applyNumberFormat="0" applyAlignment="0" applyProtection="0"/>
    <xf numFmtId="0" fontId="35" fillId="14" borderId="33" applyNumberFormat="0" applyAlignment="0" applyProtection="0"/>
    <xf numFmtId="0" fontId="35" fillId="14" borderId="33" applyNumberFormat="0" applyAlignment="0" applyProtection="0"/>
    <xf numFmtId="0" fontId="35" fillId="14" borderId="33" applyNumberFormat="0" applyAlignment="0" applyProtection="0"/>
    <xf numFmtId="0" fontId="35" fillId="14" borderId="33" applyNumberFormat="0" applyAlignment="0" applyProtection="0"/>
    <xf numFmtId="0" fontId="35" fillId="14" borderId="33" applyNumberFormat="0" applyAlignment="0" applyProtection="0"/>
    <xf numFmtId="0" fontId="35" fillId="14" borderId="33" applyNumberFormat="0" applyAlignment="0" applyProtection="0"/>
    <xf numFmtId="0" fontId="35" fillId="14" borderId="33" applyNumberFormat="0" applyAlignment="0" applyProtection="0"/>
    <xf numFmtId="0" fontId="35" fillId="14" borderId="33" applyNumberFormat="0" applyAlignment="0" applyProtection="0"/>
    <xf numFmtId="0" fontId="35" fillId="14" borderId="33" applyNumberFormat="0" applyAlignment="0" applyProtection="0"/>
    <xf numFmtId="0" fontId="35" fillId="14" borderId="33" applyNumberFormat="0" applyAlignment="0" applyProtection="0"/>
    <xf numFmtId="0" fontId="35" fillId="14" borderId="33" applyNumberFormat="0" applyAlignment="0" applyProtection="0"/>
    <xf numFmtId="0" fontId="35" fillId="14" borderId="33" applyNumberFormat="0" applyAlignment="0" applyProtection="0"/>
    <xf numFmtId="0" fontId="35" fillId="14" borderId="33" applyNumberFormat="0" applyAlignment="0" applyProtection="0"/>
    <xf numFmtId="0" fontId="35" fillId="14" borderId="33" applyNumberFormat="0" applyAlignment="0" applyProtection="0"/>
    <xf numFmtId="0" fontId="35" fillId="14" borderId="33" applyNumberFormat="0" applyAlignment="0" applyProtection="0"/>
    <xf numFmtId="0" fontId="35" fillId="14" borderId="33" applyNumberFormat="0" applyAlignment="0" applyProtection="0"/>
    <xf numFmtId="0" fontId="35" fillId="14" borderId="33" applyNumberFormat="0" applyAlignment="0" applyProtection="0"/>
    <xf numFmtId="0" fontId="35" fillId="14" borderId="33" applyNumberFormat="0" applyAlignment="0" applyProtection="0"/>
    <xf numFmtId="0" fontId="35" fillId="14" borderId="33" applyNumberFormat="0" applyAlignment="0" applyProtection="0"/>
    <xf numFmtId="0" fontId="35" fillId="14" borderId="33" applyNumberFormat="0" applyAlignment="0" applyProtection="0"/>
    <xf numFmtId="0" fontId="35" fillId="14" borderId="33" applyNumberFormat="0" applyAlignment="0" applyProtection="0"/>
    <xf numFmtId="0" fontId="35" fillId="14" borderId="33" applyNumberFormat="0" applyAlignment="0" applyProtection="0"/>
    <xf numFmtId="0" fontId="35" fillId="14" borderId="33" applyNumberFormat="0" applyAlignment="0" applyProtection="0"/>
    <xf numFmtId="0" fontId="35" fillId="14" borderId="33" applyNumberFormat="0" applyAlignment="0" applyProtection="0"/>
    <xf numFmtId="0" fontId="41" fillId="27" borderId="36" applyNumberFormat="0" applyAlignment="0" applyProtection="0"/>
    <xf numFmtId="0" fontId="41" fillId="27" borderId="36" applyNumberFormat="0" applyAlignment="0" applyProtection="0"/>
    <xf numFmtId="0" fontId="41" fillId="27" borderId="36" applyNumberFormat="0" applyAlignment="0" applyProtection="0"/>
    <xf numFmtId="0" fontId="41" fillId="27" borderId="36" applyNumberFormat="0" applyAlignment="0" applyProtection="0"/>
    <xf numFmtId="0" fontId="41" fillId="27" borderId="36" applyNumberFormat="0" applyAlignment="0" applyProtection="0"/>
    <xf numFmtId="0" fontId="41" fillId="27" borderId="36" applyNumberFormat="0" applyAlignment="0" applyProtection="0"/>
    <xf numFmtId="0" fontId="41" fillId="27" borderId="36" applyNumberFormat="0" applyAlignment="0" applyProtection="0"/>
    <xf numFmtId="0" fontId="41" fillId="27" borderId="36" applyNumberFormat="0" applyAlignment="0" applyProtection="0"/>
    <xf numFmtId="0" fontId="41" fillId="27" borderId="36" applyNumberFormat="0" applyAlignment="0" applyProtection="0"/>
    <xf numFmtId="0" fontId="41" fillId="27" borderId="36" applyNumberFormat="0" applyAlignment="0" applyProtection="0"/>
    <xf numFmtId="0" fontId="41" fillId="27" borderId="36" applyNumberFormat="0" applyAlignment="0" applyProtection="0"/>
    <xf numFmtId="0" fontId="41" fillId="27" borderId="36" applyNumberFormat="0" applyAlignment="0" applyProtection="0"/>
    <xf numFmtId="0" fontId="41" fillId="27" borderId="36" applyNumberFormat="0" applyAlignment="0" applyProtection="0"/>
    <xf numFmtId="0" fontId="41" fillId="27" borderId="36" applyNumberFormat="0" applyAlignment="0" applyProtection="0"/>
    <xf numFmtId="0" fontId="41" fillId="27" borderId="36" applyNumberFormat="0" applyAlignment="0" applyProtection="0"/>
    <xf numFmtId="0" fontId="41" fillId="27" borderId="36" applyNumberFormat="0" applyAlignment="0" applyProtection="0"/>
    <xf numFmtId="0" fontId="41" fillId="27" borderId="36" applyNumberFormat="0" applyAlignment="0" applyProtection="0"/>
    <xf numFmtId="0" fontId="41" fillId="27" borderId="36" applyNumberFormat="0" applyAlignment="0" applyProtection="0"/>
    <xf numFmtId="0" fontId="41" fillId="27" borderId="36" applyNumberFormat="0" applyAlignment="0" applyProtection="0"/>
    <xf numFmtId="0" fontId="41" fillId="27" borderId="36" applyNumberFormat="0" applyAlignment="0" applyProtection="0"/>
    <xf numFmtId="0" fontId="41" fillId="27" borderId="36" applyNumberFormat="0" applyAlignment="0" applyProtection="0"/>
    <xf numFmtId="0" fontId="41" fillId="27" borderId="36" applyNumberFormat="0" applyAlignment="0" applyProtection="0"/>
    <xf numFmtId="0" fontId="41" fillId="27" borderId="36" applyNumberFormat="0" applyAlignment="0" applyProtection="0"/>
    <xf numFmtId="0" fontId="41" fillId="27" borderId="36" applyNumberFormat="0" applyAlignment="0" applyProtection="0"/>
    <xf numFmtId="0" fontId="41" fillId="27" borderId="36" applyNumberFormat="0" applyAlignment="0" applyProtection="0"/>
    <xf numFmtId="0" fontId="41" fillId="27" borderId="36" applyNumberFormat="0" applyAlignment="0" applyProtection="0"/>
    <xf numFmtId="0" fontId="41" fillId="27" borderId="36" applyNumberFormat="0" applyAlignment="0" applyProtection="0"/>
    <xf numFmtId="0" fontId="41" fillId="27" borderId="36" applyNumberFormat="0" applyAlignment="0" applyProtection="0"/>
    <xf numFmtId="0" fontId="41" fillId="27" borderId="36" applyNumberFormat="0" applyAlignment="0" applyProtection="0"/>
    <xf numFmtId="0" fontId="41" fillId="27" borderId="36" applyNumberFormat="0" applyAlignment="0" applyProtection="0"/>
    <xf numFmtId="0" fontId="41" fillId="27" borderId="36" applyNumberFormat="0" applyAlignment="0" applyProtection="0"/>
    <xf numFmtId="0" fontId="41" fillId="27" borderId="36" applyNumberFormat="0" applyAlignment="0" applyProtection="0"/>
    <xf numFmtId="0" fontId="47" fillId="0" borderId="40" applyNumberFormat="0" applyFill="0" applyAlignment="0" applyProtection="0"/>
    <xf numFmtId="0" fontId="47" fillId="0" borderId="40" applyNumberFormat="0" applyFill="0" applyAlignment="0" applyProtection="0"/>
    <xf numFmtId="0" fontId="47" fillId="0" borderId="40" applyNumberFormat="0" applyFill="0" applyAlignment="0" applyProtection="0"/>
    <xf numFmtId="0" fontId="47" fillId="0" borderId="40" applyNumberFormat="0" applyFill="0" applyAlignment="0" applyProtection="0"/>
    <xf numFmtId="0" fontId="47" fillId="0" borderId="40" applyNumberFormat="0" applyFill="0" applyAlignment="0" applyProtection="0"/>
    <xf numFmtId="0" fontId="47" fillId="0" borderId="40" applyNumberFormat="0" applyFill="0" applyAlignment="0" applyProtection="0"/>
    <xf numFmtId="0" fontId="47" fillId="0" borderId="40" applyNumberFormat="0" applyFill="0" applyAlignment="0" applyProtection="0"/>
    <xf numFmtId="0" fontId="47" fillId="0" borderId="40" applyNumberFormat="0" applyFill="0" applyAlignment="0" applyProtection="0"/>
    <xf numFmtId="0" fontId="47" fillId="0" borderId="40" applyNumberFormat="0" applyFill="0" applyAlignment="0" applyProtection="0"/>
    <xf numFmtId="0" fontId="47" fillId="0" borderId="40" applyNumberFormat="0" applyFill="0" applyAlignment="0" applyProtection="0"/>
    <xf numFmtId="0" fontId="47" fillId="0" borderId="40" applyNumberFormat="0" applyFill="0" applyAlignment="0" applyProtection="0"/>
    <xf numFmtId="0" fontId="47" fillId="0" borderId="40" applyNumberFormat="0" applyFill="0" applyAlignment="0" applyProtection="0"/>
    <xf numFmtId="0" fontId="47" fillId="0" borderId="40" applyNumberFormat="0" applyFill="0" applyAlignment="0" applyProtection="0"/>
    <xf numFmtId="0" fontId="47" fillId="0" borderId="40" applyNumberFormat="0" applyFill="0" applyAlignment="0" applyProtection="0"/>
    <xf numFmtId="0" fontId="47" fillId="0" borderId="40" applyNumberFormat="0" applyFill="0" applyAlignment="0" applyProtection="0"/>
    <xf numFmtId="0" fontId="47" fillId="0" borderId="40" applyNumberFormat="0" applyFill="0" applyAlignment="0" applyProtection="0"/>
    <xf numFmtId="0" fontId="47" fillId="0" borderId="40" applyNumberFormat="0" applyFill="0" applyAlignment="0" applyProtection="0"/>
    <xf numFmtId="0" fontId="47" fillId="0" borderId="40" applyNumberFormat="0" applyFill="0" applyAlignment="0" applyProtection="0"/>
    <xf numFmtId="0" fontId="47" fillId="0" borderId="40" applyNumberFormat="0" applyFill="0" applyAlignment="0" applyProtection="0"/>
    <xf numFmtId="0" fontId="47" fillId="0" borderId="40" applyNumberFormat="0" applyFill="0" applyAlignment="0" applyProtection="0"/>
    <xf numFmtId="0" fontId="47" fillId="0" borderId="40" applyNumberFormat="0" applyFill="0" applyAlignment="0" applyProtection="0"/>
    <xf numFmtId="0" fontId="47" fillId="0" borderId="40" applyNumberFormat="0" applyFill="0" applyAlignment="0" applyProtection="0"/>
    <xf numFmtId="0" fontId="47" fillId="0" borderId="40" applyNumberFormat="0" applyFill="0" applyAlignment="0" applyProtection="0"/>
    <xf numFmtId="0" fontId="47" fillId="0" borderId="40" applyNumberFormat="0" applyFill="0" applyAlignment="0" applyProtection="0"/>
    <xf numFmtId="0" fontId="47" fillId="0" borderId="40" applyNumberFormat="0" applyFill="0" applyAlignment="0" applyProtection="0"/>
    <xf numFmtId="0" fontId="47" fillId="0" borderId="40" applyNumberFormat="0" applyFill="0" applyAlignment="0" applyProtection="0"/>
    <xf numFmtId="0" fontId="47" fillId="0" borderId="40" applyNumberFormat="0" applyFill="0" applyAlignment="0" applyProtection="0"/>
    <xf numFmtId="0" fontId="47" fillId="0" borderId="40" applyNumberFormat="0" applyFill="0" applyAlignment="0" applyProtection="0"/>
    <xf numFmtId="0" fontId="47" fillId="0" borderId="40" applyNumberFormat="0" applyFill="0" applyAlignment="0" applyProtection="0"/>
    <xf numFmtId="0" fontId="47" fillId="0" borderId="40" applyNumberFormat="0" applyFill="0" applyAlignment="0" applyProtection="0"/>
    <xf numFmtId="0" fontId="47" fillId="0" borderId="40" applyNumberFormat="0" applyFill="0" applyAlignment="0" applyProtection="0"/>
    <xf numFmtId="0" fontId="47" fillId="0" borderId="40" applyNumberFormat="0" applyFill="0" applyAlignment="0" applyProtection="0"/>
    <xf numFmtId="0" fontId="49" fillId="0" borderId="0"/>
    <xf numFmtId="0" fontId="1" fillId="0" borderId="0"/>
    <xf numFmtId="0" fontId="50" fillId="0" borderId="0"/>
    <xf numFmtId="0" fontId="1" fillId="0" borderId="0"/>
    <xf numFmtId="43" fontId="1" fillId="0" borderId="0" applyFont="0" applyFill="0" applyBorder="0" applyAlignment="0" applyProtection="0"/>
    <xf numFmtId="0" fontId="52" fillId="0" borderId="0"/>
    <xf numFmtId="0" fontId="33" fillId="27" borderId="33" applyNumberFormat="0" applyAlignment="0" applyProtection="0"/>
    <xf numFmtId="0" fontId="33" fillId="27" borderId="33" applyNumberFormat="0" applyAlignment="0" applyProtection="0"/>
    <xf numFmtId="0" fontId="33" fillId="27" borderId="33" applyNumberFormat="0" applyAlignment="0" applyProtection="0"/>
    <xf numFmtId="0" fontId="33" fillId="27" borderId="33" applyNumberFormat="0" applyAlignment="0" applyProtection="0"/>
    <xf numFmtId="0" fontId="33" fillId="27" borderId="33" applyNumberFormat="0" applyAlignment="0" applyProtection="0"/>
    <xf numFmtId="0" fontId="33" fillId="27" borderId="33" applyNumberFormat="0" applyAlignment="0" applyProtection="0"/>
    <xf numFmtId="0" fontId="33" fillId="27" borderId="33" applyNumberFormat="0" applyAlignment="0" applyProtection="0"/>
    <xf numFmtId="0" fontId="33" fillId="27" borderId="33" applyNumberFormat="0" applyAlignment="0" applyProtection="0"/>
    <xf numFmtId="0" fontId="33" fillId="27" borderId="33" applyNumberFormat="0" applyAlignment="0" applyProtection="0"/>
    <xf numFmtId="0" fontId="33" fillId="27" borderId="33" applyNumberFormat="0" applyAlignment="0" applyProtection="0"/>
    <xf numFmtId="0" fontId="33" fillId="27" borderId="33" applyNumberFormat="0" applyAlignment="0" applyProtection="0"/>
    <xf numFmtId="0" fontId="33" fillId="27" borderId="33" applyNumberFormat="0" applyAlignment="0" applyProtection="0"/>
    <xf numFmtId="0" fontId="33" fillId="27" borderId="33" applyNumberFormat="0" applyAlignment="0" applyProtection="0"/>
    <xf numFmtId="0" fontId="33" fillId="27" borderId="33" applyNumberFormat="0" applyAlignment="0" applyProtection="0"/>
    <xf numFmtId="0" fontId="33" fillId="27" borderId="33" applyNumberFormat="0" applyAlignment="0" applyProtection="0"/>
    <xf numFmtId="0" fontId="33" fillId="27" borderId="33" applyNumberFormat="0" applyAlignment="0" applyProtection="0"/>
    <xf numFmtId="0" fontId="33" fillId="27" borderId="33" applyNumberFormat="0" applyAlignment="0" applyProtection="0"/>
    <xf numFmtId="0" fontId="33" fillId="27" borderId="33" applyNumberFormat="0" applyAlignment="0" applyProtection="0"/>
    <xf numFmtId="0" fontId="33" fillId="27" borderId="33" applyNumberFormat="0" applyAlignment="0" applyProtection="0"/>
    <xf numFmtId="0" fontId="33" fillId="27" borderId="33" applyNumberFormat="0" applyAlignment="0" applyProtection="0"/>
    <xf numFmtId="0" fontId="33" fillId="27" borderId="33" applyNumberFormat="0" applyAlignment="0" applyProtection="0"/>
    <xf numFmtId="0" fontId="33" fillId="27" borderId="33" applyNumberFormat="0" applyAlignment="0" applyProtection="0"/>
    <xf numFmtId="0" fontId="33" fillId="27" borderId="33" applyNumberFormat="0" applyAlignment="0" applyProtection="0"/>
    <xf numFmtId="0" fontId="33" fillId="27" borderId="33" applyNumberFormat="0" applyAlignment="0" applyProtection="0"/>
    <xf numFmtId="0" fontId="33" fillId="27" borderId="33" applyNumberFormat="0" applyAlignment="0" applyProtection="0"/>
    <xf numFmtId="0" fontId="33" fillId="27" borderId="33" applyNumberFormat="0" applyAlignment="0" applyProtection="0"/>
    <xf numFmtId="0" fontId="33" fillId="27" borderId="33" applyNumberFormat="0" applyAlignment="0" applyProtection="0"/>
    <xf numFmtId="0" fontId="33" fillId="27" borderId="33" applyNumberFormat="0" applyAlignment="0" applyProtection="0"/>
    <xf numFmtId="0" fontId="33" fillId="27" borderId="33" applyNumberFormat="0" applyAlignment="0" applyProtection="0"/>
    <xf numFmtId="0" fontId="33" fillId="27" borderId="33" applyNumberFormat="0" applyAlignment="0" applyProtection="0"/>
    <xf numFmtId="0" fontId="33" fillId="27" borderId="33" applyNumberFormat="0" applyAlignment="0" applyProtection="0"/>
    <xf numFmtId="0" fontId="33" fillId="27" borderId="33" applyNumberFormat="0" applyAlignment="0" applyProtection="0"/>
    <xf numFmtId="0" fontId="33" fillId="27" borderId="33" applyNumberFormat="0" applyAlignment="0" applyProtection="0"/>
    <xf numFmtId="0" fontId="33" fillId="27" borderId="33" applyNumberFormat="0" applyAlignment="0" applyProtection="0"/>
    <xf numFmtId="0" fontId="33" fillId="27" borderId="33" applyNumberFormat="0" applyAlignment="0" applyProtection="0"/>
    <xf numFmtId="0" fontId="33" fillId="27" borderId="33" applyNumberFormat="0" applyAlignment="0" applyProtection="0"/>
    <xf numFmtId="0" fontId="33" fillId="27" borderId="33" applyNumberFormat="0" applyAlignment="0" applyProtection="0"/>
    <xf numFmtId="0" fontId="33" fillId="27" borderId="33" applyNumberFormat="0" applyAlignment="0" applyProtection="0"/>
    <xf numFmtId="0" fontId="33" fillId="27" borderId="33" applyNumberFormat="0" applyAlignment="0" applyProtection="0"/>
    <xf numFmtId="0" fontId="33" fillId="27" borderId="33" applyNumberFormat="0" applyAlignment="0" applyProtection="0"/>
    <xf numFmtId="0" fontId="33" fillId="27" borderId="33" applyNumberFormat="0" applyAlignment="0" applyProtection="0"/>
    <xf numFmtId="0" fontId="33" fillId="27" borderId="33" applyNumberFormat="0" applyAlignment="0" applyProtection="0"/>
    <xf numFmtId="0" fontId="33" fillId="27" borderId="33" applyNumberFormat="0" applyAlignment="0" applyProtection="0"/>
    <xf numFmtId="0" fontId="33" fillId="27" borderId="33" applyNumberFormat="0" applyAlignment="0" applyProtection="0"/>
    <xf numFmtId="0" fontId="33" fillId="27" borderId="33" applyNumberFormat="0" applyAlignment="0" applyProtection="0"/>
    <xf numFmtId="0" fontId="33" fillId="27" borderId="33" applyNumberFormat="0" applyAlignment="0" applyProtection="0"/>
    <xf numFmtId="0" fontId="33" fillId="27" borderId="33" applyNumberFormat="0" applyAlignment="0" applyProtection="0"/>
    <xf numFmtId="0" fontId="33" fillId="27" borderId="33" applyNumberFormat="0" applyAlignment="0" applyProtection="0"/>
    <xf numFmtId="0" fontId="33" fillId="27" borderId="33" applyNumberFormat="0" applyAlignment="0" applyProtection="0"/>
    <xf numFmtId="0" fontId="33" fillId="27" borderId="33" applyNumberFormat="0" applyAlignment="0" applyProtection="0"/>
    <xf numFmtId="0" fontId="33" fillId="27" borderId="33" applyNumberFormat="0" applyAlignment="0" applyProtection="0"/>
    <xf numFmtId="0" fontId="33" fillId="27" borderId="33" applyNumberFormat="0" applyAlignment="0" applyProtection="0"/>
    <xf numFmtId="0" fontId="33" fillId="27" borderId="33" applyNumberFormat="0" applyAlignment="0" applyProtection="0"/>
    <xf numFmtId="0" fontId="33" fillId="27" borderId="33" applyNumberFormat="0" applyAlignment="0" applyProtection="0"/>
    <xf numFmtId="0" fontId="33" fillId="27" borderId="33" applyNumberFormat="0" applyAlignment="0" applyProtection="0"/>
    <xf numFmtId="0" fontId="33" fillId="27" borderId="33" applyNumberFormat="0" applyAlignment="0" applyProtection="0"/>
    <xf numFmtId="0" fontId="33" fillId="27" borderId="33" applyNumberFormat="0" applyAlignment="0" applyProtection="0"/>
    <xf numFmtId="0" fontId="33" fillId="27" borderId="33" applyNumberFormat="0" applyAlignment="0" applyProtection="0"/>
    <xf numFmtId="0" fontId="33" fillId="27" borderId="33" applyNumberFormat="0" applyAlignment="0" applyProtection="0"/>
    <xf numFmtId="0" fontId="33" fillId="27" borderId="33" applyNumberFormat="0" applyAlignment="0" applyProtection="0"/>
    <xf numFmtId="0" fontId="33" fillId="27" borderId="33" applyNumberFormat="0" applyAlignment="0" applyProtection="0"/>
    <xf numFmtId="0" fontId="33" fillId="27" borderId="33" applyNumberFormat="0" applyAlignment="0" applyProtection="0"/>
    <xf numFmtId="0" fontId="33" fillId="27" borderId="33" applyNumberFormat="0" applyAlignment="0" applyProtection="0"/>
    <xf numFmtId="0" fontId="33" fillId="27" borderId="33" applyNumberFormat="0" applyAlignment="0" applyProtection="0"/>
    <xf numFmtId="0" fontId="33" fillId="27" borderId="33" applyNumberFormat="0" applyAlignment="0" applyProtection="0"/>
    <xf numFmtId="0" fontId="33" fillId="27" borderId="33" applyNumberFormat="0" applyAlignment="0" applyProtection="0"/>
    <xf numFmtId="0" fontId="33" fillId="27" borderId="33" applyNumberFormat="0" applyAlignment="0" applyProtection="0"/>
    <xf numFmtId="0" fontId="33" fillId="27" borderId="33" applyNumberFormat="0" applyAlignment="0" applyProtection="0"/>
    <xf numFmtId="0" fontId="33" fillId="27" borderId="33" applyNumberFormat="0" applyAlignment="0" applyProtection="0"/>
    <xf numFmtId="0" fontId="33" fillId="27" borderId="33" applyNumberFormat="0" applyAlignment="0" applyProtection="0"/>
    <xf numFmtId="0" fontId="33" fillId="27" borderId="33" applyNumberFormat="0" applyAlignment="0" applyProtection="0"/>
    <xf numFmtId="0" fontId="33" fillId="27" borderId="33" applyNumberFormat="0" applyAlignment="0" applyProtection="0"/>
    <xf numFmtId="0" fontId="33" fillId="27" borderId="33" applyNumberFormat="0" applyAlignment="0" applyProtection="0"/>
    <xf numFmtId="0" fontId="33" fillId="27" borderId="33" applyNumberFormat="0" applyAlignment="0" applyProtection="0"/>
    <xf numFmtId="0" fontId="33" fillId="27" borderId="33" applyNumberFormat="0" applyAlignment="0" applyProtection="0"/>
    <xf numFmtId="0" fontId="33" fillId="27" borderId="33" applyNumberFormat="0" applyAlignment="0" applyProtection="0"/>
    <xf numFmtId="0" fontId="33" fillId="27" borderId="33" applyNumberFormat="0" applyAlignment="0" applyProtection="0"/>
    <xf numFmtId="0" fontId="33" fillId="27" borderId="33" applyNumberFormat="0" applyAlignment="0" applyProtection="0"/>
    <xf numFmtId="0" fontId="33" fillId="27" borderId="33" applyNumberFormat="0" applyAlignment="0" applyProtection="0"/>
    <xf numFmtId="0" fontId="33" fillId="27" borderId="33" applyNumberFormat="0" applyAlignment="0" applyProtection="0"/>
    <xf numFmtId="0" fontId="33" fillId="27" borderId="33" applyNumberFormat="0" applyAlignment="0" applyProtection="0"/>
    <xf numFmtId="0" fontId="33" fillId="27" borderId="33" applyNumberFormat="0" applyAlignment="0" applyProtection="0"/>
    <xf numFmtId="0" fontId="33" fillId="27" borderId="33" applyNumberFormat="0" applyAlignment="0" applyProtection="0"/>
    <xf numFmtId="0" fontId="33" fillId="27" borderId="33" applyNumberFormat="0" applyAlignment="0" applyProtection="0"/>
    <xf numFmtId="0" fontId="33" fillId="27" borderId="33" applyNumberFormat="0" applyAlignment="0" applyProtection="0"/>
    <xf numFmtId="0" fontId="33" fillId="27" borderId="33" applyNumberFormat="0" applyAlignment="0" applyProtection="0"/>
    <xf numFmtId="0" fontId="33" fillId="27" borderId="33" applyNumberFormat="0" applyAlignment="0" applyProtection="0"/>
    <xf numFmtId="0" fontId="33" fillId="27" borderId="33" applyNumberFormat="0" applyAlignment="0" applyProtection="0"/>
    <xf numFmtId="0" fontId="33" fillId="27" borderId="33" applyNumberFormat="0" applyAlignment="0" applyProtection="0"/>
    <xf numFmtId="0" fontId="33" fillId="27" borderId="33" applyNumberFormat="0" applyAlignment="0" applyProtection="0"/>
    <xf numFmtId="0" fontId="33" fillId="27" borderId="33" applyNumberFormat="0" applyAlignment="0" applyProtection="0"/>
    <xf numFmtId="0" fontId="33" fillId="27" borderId="33" applyNumberFormat="0" applyAlignment="0" applyProtection="0"/>
    <xf numFmtId="0" fontId="33" fillId="27" borderId="33" applyNumberFormat="0" applyAlignment="0" applyProtection="0"/>
    <xf numFmtId="0" fontId="33" fillId="27" borderId="33" applyNumberFormat="0" applyAlignment="0" applyProtection="0"/>
    <xf numFmtId="0" fontId="33" fillId="27" borderId="33" applyNumberFormat="0" applyAlignment="0" applyProtection="0"/>
    <xf numFmtId="0" fontId="33" fillId="27" borderId="33" applyNumberFormat="0" applyAlignment="0" applyProtection="0"/>
    <xf numFmtId="0" fontId="33" fillId="27" borderId="33" applyNumberFormat="0" applyAlignment="0" applyProtection="0"/>
    <xf numFmtId="0" fontId="33" fillId="27" borderId="33" applyNumberFormat="0" applyAlignment="0" applyProtection="0"/>
    <xf numFmtId="0" fontId="33" fillId="27" borderId="33" applyNumberFormat="0" applyAlignment="0" applyProtection="0"/>
    <xf numFmtId="0" fontId="33" fillId="27" borderId="33" applyNumberFormat="0" applyAlignment="0" applyProtection="0"/>
    <xf numFmtId="0" fontId="33" fillId="27" borderId="33" applyNumberFormat="0" applyAlignment="0" applyProtection="0"/>
    <xf numFmtId="0" fontId="33" fillId="27" borderId="33" applyNumberFormat="0" applyAlignment="0" applyProtection="0"/>
    <xf numFmtId="0" fontId="33" fillId="27" borderId="33" applyNumberFormat="0" applyAlignment="0" applyProtection="0"/>
    <xf numFmtId="0" fontId="33" fillId="27" borderId="33" applyNumberFormat="0" applyAlignment="0" applyProtection="0"/>
    <xf numFmtId="0" fontId="33" fillId="27" borderId="33" applyNumberFormat="0" applyAlignment="0" applyProtection="0"/>
    <xf numFmtId="0" fontId="33" fillId="27" borderId="33" applyNumberFormat="0" applyAlignment="0" applyProtection="0"/>
    <xf numFmtId="0" fontId="33" fillId="27" borderId="33" applyNumberFormat="0" applyAlignment="0" applyProtection="0"/>
    <xf numFmtId="0" fontId="33" fillId="27" borderId="33" applyNumberFormat="0" applyAlignment="0" applyProtection="0"/>
    <xf numFmtId="0" fontId="33" fillId="27" borderId="33" applyNumberFormat="0" applyAlignment="0" applyProtection="0"/>
    <xf numFmtId="0" fontId="33" fillId="27" borderId="33" applyNumberFormat="0" applyAlignment="0" applyProtection="0"/>
    <xf numFmtId="0" fontId="33" fillId="27" borderId="33" applyNumberFormat="0" applyAlignment="0" applyProtection="0"/>
    <xf numFmtId="0" fontId="33" fillId="27" borderId="33" applyNumberFormat="0" applyAlignment="0" applyProtection="0"/>
    <xf numFmtId="0" fontId="33" fillId="27" borderId="33" applyNumberFormat="0" applyAlignment="0" applyProtection="0"/>
    <xf numFmtId="0" fontId="33" fillId="27" borderId="33" applyNumberFormat="0" applyAlignment="0" applyProtection="0"/>
    <xf numFmtId="0" fontId="33" fillId="27" borderId="33" applyNumberFormat="0" applyAlignment="0" applyProtection="0"/>
    <xf numFmtId="0" fontId="33" fillId="27" borderId="33" applyNumberFormat="0" applyAlignment="0" applyProtection="0"/>
    <xf numFmtId="0" fontId="33" fillId="27" borderId="33" applyNumberFormat="0" applyAlignment="0" applyProtection="0"/>
    <xf numFmtId="0" fontId="33" fillId="27" borderId="33" applyNumberFormat="0" applyAlignment="0" applyProtection="0"/>
    <xf numFmtId="0" fontId="33" fillId="27" borderId="33" applyNumberFormat="0" applyAlignment="0" applyProtection="0"/>
    <xf numFmtId="0" fontId="33" fillId="27" borderId="33" applyNumberFormat="0" applyAlignment="0" applyProtection="0"/>
    <xf numFmtId="0" fontId="33" fillId="27" borderId="33" applyNumberFormat="0" applyAlignment="0" applyProtection="0"/>
    <xf numFmtId="0" fontId="33" fillId="27" borderId="33" applyNumberFormat="0" applyAlignment="0" applyProtection="0"/>
    <xf numFmtId="0" fontId="33" fillId="27" borderId="33" applyNumberFormat="0" applyAlignment="0" applyProtection="0"/>
    <xf numFmtId="0" fontId="33" fillId="27" borderId="33" applyNumberFormat="0" applyAlignment="0" applyProtection="0"/>
    <xf numFmtId="0" fontId="33" fillId="27" borderId="33" applyNumberFormat="0" applyAlignment="0" applyProtection="0"/>
    <xf numFmtId="0" fontId="33" fillId="27" borderId="33" applyNumberFormat="0" applyAlignment="0" applyProtection="0"/>
    <xf numFmtId="0" fontId="33" fillId="27" borderId="33" applyNumberFormat="0" applyAlignment="0" applyProtection="0"/>
    <xf numFmtId="0" fontId="33" fillId="27" borderId="33" applyNumberFormat="0" applyAlignment="0" applyProtection="0"/>
    <xf numFmtId="0" fontId="33" fillId="27" borderId="33" applyNumberFormat="0" applyAlignment="0" applyProtection="0"/>
    <xf numFmtId="0" fontId="33" fillId="27" borderId="33" applyNumberFormat="0" applyAlignment="0" applyProtection="0"/>
    <xf numFmtId="0" fontId="33" fillId="27" borderId="33" applyNumberFormat="0" applyAlignment="0" applyProtection="0"/>
    <xf numFmtId="0" fontId="33" fillId="27" borderId="33" applyNumberFormat="0" applyAlignment="0" applyProtection="0"/>
    <xf numFmtId="0" fontId="33" fillId="27" borderId="33" applyNumberFormat="0" applyAlignment="0" applyProtection="0"/>
    <xf numFmtId="0" fontId="33" fillId="27" borderId="33" applyNumberFormat="0" applyAlignment="0" applyProtection="0"/>
    <xf numFmtId="0" fontId="33" fillId="27" borderId="33" applyNumberFormat="0" applyAlignment="0" applyProtection="0"/>
    <xf numFmtId="0" fontId="33" fillId="27" borderId="33" applyNumberFormat="0" applyAlignment="0" applyProtection="0"/>
    <xf numFmtId="0" fontId="33" fillId="27" borderId="33" applyNumberFormat="0" applyAlignment="0" applyProtection="0"/>
    <xf numFmtId="0" fontId="33" fillId="27" borderId="33" applyNumberFormat="0" applyAlignment="0" applyProtection="0"/>
    <xf numFmtId="0" fontId="33" fillId="27" borderId="33" applyNumberFormat="0" applyAlignment="0" applyProtection="0"/>
    <xf numFmtId="0" fontId="33" fillId="27" borderId="33" applyNumberFormat="0" applyAlignment="0" applyProtection="0"/>
    <xf numFmtId="0" fontId="33" fillId="27" borderId="33" applyNumberFormat="0" applyAlignment="0" applyProtection="0"/>
    <xf numFmtId="0" fontId="33" fillId="27" borderId="33" applyNumberFormat="0" applyAlignment="0" applyProtection="0"/>
    <xf numFmtId="0" fontId="33" fillId="27" borderId="33" applyNumberFormat="0" applyAlignment="0" applyProtection="0"/>
    <xf numFmtId="0" fontId="33" fillId="27" borderId="33" applyNumberFormat="0" applyAlignment="0" applyProtection="0"/>
    <xf numFmtId="0" fontId="33" fillId="27" borderId="33" applyNumberFormat="0" applyAlignment="0" applyProtection="0"/>
    <xf numFmtId="0" fontId="33" fillId="27" borderId="33" applyNumberFormat="0" applyAlignment="0" applyProtection="0"/>
    <xf numFmtId="0" fontId="33" fillId="27" borderId="33" applyNumberFormat="0" applyAlignment="0" applyProtection="0"/>
    <xf numFmtId="0" fontId="33" fillId="27" borderId="33" applyNumberFormat="0" applyAlignment="0" applyProtection="0"/>
    <xf numFmtId="0" fontId="33" fillId="27" borderId="33" applyNumberFormat="0" applyAlignment="0" applyProtection="0"/>
    <xf numFmtId="0" fontId="33" fillId="27" borderId="33" applyNumberFormat="0" applyAlignment="0" applyProtection="0"/>
    <xf numFmtId="0" fontId="33" fillId="27" borderId="33" applyNumberFormat="0" applyAlignment="0" applyProtection="0"/>
    <xf numFmtId="0" fontId="33" fillId="27" borderId="33" applyNumberFormat="0" applyAlignment="0" applyProtection="0"/>
    <xf numFmtId="0" fontId="33" fillId="27" borderId="33" applyNumberFormat="0" applyAlignment="0" applyProtection="0"/>
    <xf numFmtId="0" fontId="33" fillId="27" borderId="33" applyNumberFormat="0" applyAlignment="0" applyProtection="0"/>
    <xf numFmtId="0" fontId="33" fillId="27" borderId="33" applyNumberFormat="0" applyAlignment="0" applyProtection="0"/>
    <xf numFmtId="0" fontId="33" fillId="27" borderId="33" applyNumberFormat="0" applyAlignment="0" applyProtection="0"/>
    <xf numFmtId="0" fontId="33" fillId="27" borderId="33" applyNumberFormat="0" applyAlignment="0" applyProtection="0"/>
    <xf numFmtId="0" fontId="33" fillId="27" borderId="33" applyNumberFormat="0" applyAlignment="0" applyProtection="0"/>
    <xf numFmtId="0" fontId="33" fillId="27" borderId="33" applyNumberFormat="0" applyAlignment="0" applyProtection="0"/>
    <xf numFmtId="0" fontId="33" fillId="27" borderId="33" applyNumberFormat="0" applyAlignment="0" applyProtection="0"/>
    <xf numFmtId="0" fontId="33" fillId="27" borderId="33" applyNumberFormat="0" applyAlignment="0" applyProtection="0"/>
    <xf numFmtId="0" fontId="33" fillId="27" borderId="33" applyNumberFormat="0" applyAlignment="0" applyProtection="0"/>
    <xf numFmtId="0" fontId="33" fillId="27" borderId="33" applyNumberFormat="0" applyAlignment="0" applyProtection="0"/>
    <xf numFmtId="0" fontId="33" fillId="27" borderId="33" applyNumberFormat="0" applyAlignment="0" applyProtection="0"/>
    <xf numFmtId="0" fontId="33" fillId="27" borderId="33" applyNumberFormat="0" applyAlignment="0" applyProtection="0"/>
    <xf numFmtId="0" fontId="33" fillId="27" borderId="33" applyNumberFormat="0" applyAlignment="0" applyProtection="0"/>
    <xf numFmtId="0" fontId="33" fillId="27" borderId="33" applyNumberFormat="0" applyAlignment="0" applyProtection="0"/>
    <xf numFmtId="0" fontId="33" fillId="27" borderId="33" applyNumberFormat="0" applyAlignment="0" applyProtection="0"/>
    <xf numFmtId="0" fontId="33" fillId="27" borderId="33" applyNumberFormat="0" applyAlignment="0" applyProtection="0"/>
    <xf numFmtId="0" fontId="33" fillId="27" borderId="33" applyNumberFormat="0" applyAlignment="0" applyProtection="0"/>
    <xf numFmtId="0" fontId="33" fillId="27" borderId="33" applyNumberFormat="0" applyAlignment="0" applyProtection="0"/>
    <xf numFmtId="0" fontId="33" fillId="27" borderId="33" applyNumberFormat="0" applyAlignment="0" applyProtection="0"/>
    <xf numFmtId="0" fontId="33" fillId="27" borderId="33" applyNumberFormat="0" applyAlignment="0" applyProtection="0"/>
    <xf numFmtId="0" fontId="33" fillId="27" borderId="33" applyNumberFormat="0" applyAlignment="0" applyProtection="0"/>
    <xf numFmtId="0" fontId="33" fillId="27" borderId="33" applyNumberFormat="0" applyAlignment="0" applyProtection="0"/>
    <xf numFmtId="0" fontId="33" fillId="27" borderId="33" applyNumberFormat="0" applyAlignment="0" applyProtection="0"/>
    <xf numFmtId="0" fontId="33" fillId="27" borderId="33" applyNumberFormat="0" applyAlignment="0" applyProtection="0"/>
    <xf numFmtId="0" fontId="33" fillId="27" borderId="33" applyNumberFormat="0" applyAlignment="0" applyProtection="0"/>
    <xf numFmtId="0" fontId="33" fillId="27" borderId="33" applyNumberFormat="0" applyAlignment="0" applyProtection="0"/>
    <xf numFmtId="0" fontId="33" fillId="27" borderId="33" applyNumberFormat="0" applyAlignment="0" applyProtection="0"/>
    <xf numFmtId="0" fontId="33" fillId="27" borderId="33" applyNumberFormat="0" applyAlignment="0" applyProtection="0"/>
    <xf numFmtId="0" fontId="33" fillId="27" borderId="33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35" fillId="14" borderId="33" applyNumberFormat="0" applyAlignment="0" applyProtection="0"/>
    <xf numFmtId="0" fontId="35" fillId="14" borderId="33" applyNumberFormat="0" applyAlignment="0" applyProtection="0"/>
    <xf numFmtId="0" fontId="35" fillId="14" borderId="33" applyNumberFormat="0" applyAlignment="0" applyProtection="0"/>
    <xf numFmtId="0" fontId="35" fillId="14" borderId="33" applyNumberFormat="0" applyAlignment="0" applyProtection="0"/>
    <xf numFmtId="0" fontId="35" fillId="14" borderId="33" applyNumberFormat="0" applyAlignment="0" applyProtection="0"/>
    <xf numFmtId="0" fontId="35" fillId="14" borderId="33" applyNumberFormat="0" applyAlignment="0" applyProtection="0"/>
    <xf numFmtId="0" fontId="35" fillId="14" borderId="33" applyNumberFormat="0" applyAlignment="0" applyProtection="0"/>
    <xf numFmtId="0" fontId="35" fillId="14" borderId="33" applyNumberFormat="0" applyAlignment="0" applyProtection="0"/>
    <xf numFmtId="0" fontId="35" fillId="14" borderId="33" applyNumberFormat="0" applyAlignment="0" applyProtection="0"/>
    <xf numFmtId="0" fontId="35" fillId="14" borderId="33" applyNumberFormat="0" applyAlignment="0" applyProtection="0"/>
    <xf numFmtId="0" fontId="35" fillId="14" borderId="33" applyNumberFormat="0" applyAlignment="0" applyProtection="0"/>
    <xf numFmtId="0" fontId="35" fillId="14" borderId="33" applyNumberFormat="0" applyAlignment="0" applyProtection="0"/>
    <xf numFmtId="0" fontId="35" fillId="14" borderId="33" applyNumberFormat="0" applyAlignment="0" applyProtection="0"/>
    <xf numFmtId="0" fontId="35" fillId="14" borderId="33" applyNumberFormat="0" applyAlignment="0" applyProtection="0"/>
    <xf numFmtId="0" fontId="35" fillId="14" borderId="33" applyNumberFormat="0" applyAlignment="0" applyProtection="0"/>
    <xf numFmtId="0" fontId="35" fillId="14" borderId="33" applyNumberFormat="0" applyAlignment="0" applyProtection="0"/>
    <xf numFmtId="0" fontId="35" fillId="14" borderId="33" applyNumberFormat="0" applyAlignment="0" applyProtection="0"/>
    <xf numFmtId="0" fontId="35" fillId="14" borderId="33" applyNumberFormat="0" applyAlignment="0" applyProtection="0"/>
    <xf numFmtId="0" fontId="35" fillId="14" borderId="33" applyNumberFormat="0" applyAlignment="0" applyProtection="0"/>
    <xf numFmtId="0" fontId="35" fillId="14" borderId="33" applyNumberFormat="0" applyAlignment="0" applyProtection="0"/>
    <xf numFmtId="0" fontId="35" fillId="14" borderId="33" applyNumberFormat="0" applyAlignment="0" applyProtection="0"/>
    <xf numFmtId="0" fontId="35" fillId="14" borderId="33" applyNumberFormat="0" applyAlignment="0" applyProtection="0"/>
    <xf numFmtId="0" fontId="35" fillId="14" borderId="33" applyNumberFormat="0" applyAlignment="0" applyProtection="0"/>
    <xf numFmtId="0" fontId="35" fillId="14" borderId="33" applyNumberFormat="0" applyAlignment="0" applyProtection="0"/>
    <xf numFmtId="0" fontId="35" fillId="14" borderId="33" applyNumberFormat="0" applyAlignment="0" applyProtection="0"/>
    <xf numFmtId="0" fontId="35" fillId="14" borderId="33" applyNumberFormat="0" applyAlignment="0" applyProtection="0"/>
    <xf numFmtId="0" fontId="35" fillId="14" borderId="33" applyNumberFormat="0" applyAlignment="0" applyProtection="0"/>
    <xf numFmtId="0" fontId="35" fillId="14" borderId="33" applyNumberFormat="0" applyAlignment="0" applyProtection="0"/>
    <xf numFmtId="0" fontId="35" fillId="14" borderId="33" applyNumberFormat="0" applyAlignment="0" applyProtection="0"/>
    <xf numFmtId="0" fontId="35" fillId="14" borderId="33" applyNumberFormat="0" applyAlignment="0" applyProtection="0"/>
    <xf numFmtId="0" fontId="35" fillId="14" borderId="33" applyNumberFormat="0" applyAlignment="0" applyProtection="0"/>
    <xf numFmtId="0" fontId="35" fillId="14" borderId="33" applyNumberFormat="0" applyAlignment="0" applyProtection="0"/>
    <xf numFmtId="0" fontId="35" fillId="14" borderId="33" applyNumberFormat="0" applyAlignment="0" applyProtection="0"/>
    <xf numFmtId="0" fontId="35" fillId="14" borderId="33" applyNumberFormat="0" applyAlignment="0" applyProtection="0"/>
    <xf numFmtId="0" fontId="35" fillId="14" borderId="33" applyNumberFormat="0" applyAlignment="0" applyProtection="0"/>
    <xf numFmtId="0" fontId="35" fillId="14" borderId="33" applyNumberFormat="0" applyAlignment="0" applyProtection="0"/>
    <xf numFmtId="0" fontId="35" fillId="14" borderId="33" applyNumberFormat="0" applyAlignment="0" applyProtection="0"/>
    <xf numFmtId="0" fontId="35" fillId="14" borderId="33" applyNumberFormat="0" applyAlignment="0" applyProtection="0"/>
    <xf numFmtId="0" fontId="35" fillId="14" borderId="33" applyNumberFormat="0" applyAlignment="0" applyProtection="0"/>
    <xf numFmtId="0" fontId="35" fillId="14" borderId="33" applyNumberFormat="0" applyAlignment="0" applyProtection="0"/>
    <xf numFmtId="0" fontId="35" fillId="14" borderId="33" applyNumberFormat="0" applyAlignment="0" applyProtection="0"/>
    <xf numFmtId="0" fontId="35" fillId="14" borderId="33" applyNumberFormat="0" applyAlignment="0" applyProtection="0"/>
    <xf numFmtId="0" fontId="35" fillId="14" borderId="33" applyNumberFormat="0" applyAlignment="0" applyProtection="0"/>
    <xf numFmtId="0" fontId="35" fillId="14" borderId="33" applyNumberFormat="0" applyAlignment="0" applyProtection="0"/>
    <xf numFmtId="0" fontId="35" fillId="14" borderId="33" applyNumberFormat="0" applyAlignment="0" applyProtection="0"/>
    <xf numFmtId="0" fontId="35" fillId="14" borderId="33" applyNumberFormat="0" applyAlignment="0" applyProtection="0"/>
    <xf numFmtId="0" fontId="35" fillId="14" borderId="33" applyNumberFormat="0" applyAlignment="0" applyProtection="0"/>
    <xf numFmtId="0" fontId="35" fillId="14" borderId="33" applyNumberFormat="0" applyAlignment="0" applyProtection="0"/>
    <xf numFmtId="0" fontId="35" fillId="14" borderId="33" applyNumberFormat="0" applyAlignment="0" applyProtection="0"/>
    <xf numFmtId="0" fontId="35" fillId="14" borderId="33" applyNumberFormat="0" applyAlignment="0" applyProtection="0"/>
    <xf numFmtId="0" fontId="35" fillId="14" borderId="33" applyNumberFormat="0" applyAlignment="0" applyProtection="0"/>
    <xf numFmtId="0" fontId="35" fillId="14" borderId="33" applyNumberFormat="0" applyAlignment="0" applyProtection="0"/>
    <xf numFmtId="0" fontId="35" fillId="14" borderId="33" applyNumberFormat="0" applyAlignment="0" applyProtection="0"/>
    <xf numFmtId="0" fontId="35" fillId="14" borderId="33" applyNumberFormat="0" applyAlignment="0" applyProtection="0"/>
    <xf numFmtId="0" fontId="35" fillId="14" borderId="33" applyNumberFormat="0" applyAlignment="0" applyProtection="0"/>
    <xf numFmtId="0" fontId="35" fillId="14" borderId="33" applyNumberFormat="0" applyAlignment="0" applyProtection="0"/>
    <xf numFmtId="0" fontId="35" fillId="14" borderId="33" applyNumberFormat="0" applyAlignment="0" applyProtection="0"/>
    <xf numFmtId="0" fontId="35" fillId="14" borderId="33" applyNumberFormat="0" applyAlignment="0" applyProtection="0"/>
    <xf numFmtId="0" fontId="35" fillId="14" borderId="33" applyNumberFormat="0" applyAlignment="0" applyProtection="0"/>
    <xf numFmtId="0" fontId="35" fillId="14" borderId="33" applyNumberFormat="0" applyAlignment="0" applyProtection="0"/>
    <xf numFmtId="0" fontId="35" fillId="14" borderId="33" applyNumberFormat="0" applyAlignment="0" applyProtection="0"/>
    <xf numFmtId="0" fontId="35" fillId="14" borderId="33" applyNumberFormat="0" applyAlignment="0" applyProtection="0"/>
    <xf numFmtId="0" fontId="35" fillId="14" borderId="33" applyNumberFormat="0" applyAlignment="0" applyProtection="0"/>
    <xf numFmtId="0" fontId="35" fillId="14" borderId="33" applyNumberFormat="0" applyAlignment="0" applyProtection="0"/>
    <xf numFmtId="0" fontId="35" fillId="14" borderId="33" applyNumberFormat="0" applyAlignment="0" applyProtection="0"/>
    <xf numFmtId="0" fontId="35" fillId="14" borderId="33" applyNumberFormat="0" applyAlignment="0" applyProtection="0"/>
    <xf numFmtId="0" fontId="35" fillId="14" borderId="33" applyNumberFormat="0" applyAlignment="0" applyProtection="0"/>
    <xf numFmtId="0" fontId="35" fillId="14" borderId="33" applyNumberFormat="0" applyAlignment="0" applyProtection="0"/>
    <xf numFmtId="0" fontId="35" fillId="14" borderId="33" applyNumberFormat="0" applyAlignment="0" applyProtection="0"/>
    <xf numFmtId="0" fontId="35" fillId="14" borderId="33" applyNumberFormat="0" applyAlignment="0" applyProtection="0"/>
    <xf numFmtId="0" fontId="35" fillId="14" borderId="33" applyNumberFormat="0" applyAlignment="0" applyProtection="0"/>
    <xf numFmtId="0" fontId="35" fillId="14" borderId="33" applyNumberFormat="0" applyAlignment="0" applyProtection="0"/>
    <xf numFmtId="0" fontId="35" fillId="14" borderId="33" applyNumberFormat="0" applyAlignment="0" applyProtection="0"/>
    <xf numFmtId="0" fontId="35" fillId="14" borderId="33" applyNumberFormat="0" applyAlignment="0" applyProtection="0"/>
    <xf numFmtId="0" fontId="35" fillId="14" borderId="33" applyNumberFormat="0" applyAlignment="0" applyProtection="0"/>
    <xf numFmtId="0" fontId="35" fillId="14" borderId="33" applyNumberFormat="0" applyAlignment="0" applyProtection="0"/>
    <xf numFmtId="0" fontId="35" fillId="14" borderId="33" applyNumberFormat="0" applyAlignment="0" applyProtection="0"/>
    <xf numFmtId="0" fontId="35" fillId="14" borderId="33" applyNumberFormat="0" applyAlignment="0" applyProtection="0"/>
    <xf numFmtId="0" fontId="35" fillId="14" borderId="33" applyNumberFormat="0" applyAlignment="0" applyProtection="0"/>
    <xf numFmtId="0" fontId="35" fillId="14" borderId="33" applyNumberFormat="0" applyAlignment="0" applyProtection="0"/>
    <xf numFmtId="0" fontId="35" fillId="14" borderId="33" applyNumberFormat="0" applyAlignment="0" applyProtection="0"/>
    <xf numFmtId="0" fontId="35" fillId="14" borderId="33" applyNumberFormat="0" applyAlignment="0" applyProtection="0"/>
    <xf numFmtId="0" fontId="35" fillId="14" borderId="33" applyNumberFormat="0" applyAlignment="0" applyProtection="0"/>
    <xf numFmtId="0" fontId="35" fillId="14" borderId="33" applyNumberFormat="0" applyAlignment="0" applyProtection="0"/>
    <xf numFmtId="0" fontId="35" fillId="14" borderId="33" applyNumberFormat="0" applyAlignment="0" applyProtection="0"/>
    <xf numFmtId="0" fontId="35" fillId="14" borderId="33" applyNumberFormat="0" applyAlignment="0" applyProtection="0"/>
    <xf numFmtId="0" fontId="35" fillId="14" borderId="33" applyNumberFormat="0" applyAlignment="0" applyProtection="0"/>
    <xf numFmtId="0" fontId="35" fillId="14" borderId="33" applyNumberFormat="0" applyAlignment="0" applyProtection="0"/>
    <xf numFmtId="0" fontId="35" fillId="14" borderId="33" applyNumberFormat="0" applyAlignment="0" applyProtection="0"/>
    <xf numFmtId="0" fontId="35" fillId="14" borderId="33" applyNumberFormat="0" applyAlignment="0" applyProtection="0"/>
    <xf numFmtId="0" fontId="35" fillId="14" borderId="33" applyNumberFormat="0" applyAlignment="0" applyProtection="0"/>
    <xf numFmtId="0" fontId="35" fillId="14" borderId="33" applyNumberFormat="0" applyAlignment="0" applyProtection="0"/>
    <xf numFmtId="0" fontId="35" fillId="14" borderId="33" applyNumberFormat="0" applyAlignment="0" applyProtection="0"/>
    <xf numFmtId="0" fontId="35" fillId="14" borderId="33" applyNumberFormat="0" applyAlignment="0" applyProtection="0"/>
    <xf numFmtId="0" fontId="35" fillId="14" borderId="33" applyNumberFormat="0" applyAlignment="0" applyProtection="0"/>
    <xf numFmtId="0" fontId="35" fillId="14" borderId="33" applyNumberFormat="0" applyAlignment="0" applyProtection="0"/>
    <xf numFmtId="0" fontId="35" fillId="14" borderId="33" applyNumberFormat="0" applyAlignment="0" applyProtection="0"/>
    <xf numFmtId="0" fontId="35" fillId="14" borderId="33" applyNumberFormat="0" applyAlignment="0" applyProtection="0"/>
    <xf numFmtId="0" fontId="35" fillId="14" borderId="33" applyNumberFormat="0" applyAlignment="0" applyProtection="0"/>
    <xf numFmtId="0" fontId="35" fillId="14" borderId="33" applyNumberFormat="0" applyAlignment="0" applyProtection="0"/>
    <xf numFmtId="0" fontId="35" fillId="14" borderId="33" applyNumberFormat="0" applyAlignment="0" applyProtection="0"/>
    <xf numFmtId="0" fontId="35" fillId="14" borderId="33" applyNumberFormat="0" applyAlignment="0" applyProtection="0"/>
    <xf numFmtId="0" fontId="35" fillId="14" borderId="33" applyNumberFormat="0" applyAlignment="0" applyProtection="0"/>
    <xf numFmtId="0" fontId="35" fillId="14" borderId="33" applyNumberFormat="0" applyAlignment="0" applyProtection="0"/>
    <xf numFmtId="0" fontId="35" fillId="14" borderId="33" applyNumberFormat="0" applyAlignment="0" applyProtection="0"/>
    <xf numFmtId="0" fontId="35" fillId="14" borderId="33" applyNumberFormat="0" applyAlignment="0" applyProtection="0"/>
    <xf numFmtId="0" fontId="35" fillId="14" borderId="33" applyNumberFormat="0" applyAlignment="0" applyProtection="0"/>
    <xf numFmtId="0" fontId="35" fillId="14" borderId="33" applyNumberFormat="0" applyAlignment="0" applyProtection="0"/>
    <xf numFmtId="0" fontId="35" fillId="14" borderId="33" applyNumberFormat="0" applyAlignment="0" applyProtection="0"/>
    <xf numFmtId="0" fontId="35" fillId="14" borderId="33" applyNumberFormat="0" applyAlignment="0" applyProtection="0"/>
    <xf numFmtId="0" fontId="35" fillId="14" borderId="33" applyNumberFormat="0" applyAlignment="0" applyProtection="0"/>
    <xf numFmtId="0" fontId="35" fillId="14" borderId="33" applyNumberFormat="0" applyAlignment="0" applyProtection="0"/>
    <xf numFmtId="0" fontId="35" fillId="14" borderId="33" applyNumberFormat="0" applyAlignment="0" applyProtection="0"/>
    <xf numFmtId="0" fontId="35" fillId="14" borderId="33" applyNumberFormat="0" applyAlignment="0" applyProtection="0"/>
    <xf numFmtId="0" fontId="35" fillId="14" borderId="33" applyNumberFormat="0" applyAlignment="0" applyProtection="0"/>
    <xf numFmtId="0" fontId="35" fillId="14" borderId="33" applyNumberFormat="0" applyAlignment="0" applyProtection="0"/>
    <xf numFmtId="0" fontId="35" fillId="14" borderId="33" applyNumberFormat="0" applyAlignment="0" applyProtection="0"/>
    <xf numFmtId="0" fontId="35" fillId="14" borderId="33" applyNumberFormat="0" applyAlignment="0" applyProtection="0"/>
    <xf numFmtId="0" fontId="35" fillId="14" borderId="33" applyNumberFormat="0" applyAlignment="0" applyProtection="0"/>
    <xf numFmtId="0" fontId="35" fillId="14" borderId="33" applyNumberFormat="0" applyAlignment="0" applyProtection="0"/>
    <xf numFmtId="0" fontId="35" fillId="14" borderId="33" applyNumberFormat="0" applyAlignment="0" applyProtection="0"/>
    <xf numFmtId="0" fontId="35" fillId="14" borderId="33" applyNumberFormat="0" applyAlignment="0" applyProtection="0"/>
    <xf numFmtId="0" fontId="35" fillId="14" borderId="33" applyNumberFormat="0" applyAlignment="0" applyProtection="0"/>
    <xf numFmtId="0" fontId="35" fillId="14" borderId="33" applyNumberFormat="0" applyAlignment="0" applyProtection="0"/>
    <xf numFmtId="0" fontId="35" fillId="14" borderId="33" applyNumberFormat="0" applyAlignment="0" applyProtection="0"/>
    <xf numFmtId="0" fontId="35" fillId="14" borderId="33" applyNumberFormat="0" applyAlignment="0" applyProtection="0"/>
    <xf numFmtId="0" fontId="35" fillId="14" borderId="33" applyNumberFormat="0" applyAlignment="0" applyProtection="0"/>
    <xf numFmtId="0" fontId="35" fillId="14" borderId="33" applyNumberFormat="0" applyAlignment="0" applyProtection="0"/>
    <xf numFmtId="0" fontId="35" fillId="14" borderId="33" applyNumberFormat="0" applyAlignment="0" applyProtection="0"/>
    <xf numFmtId="0" fontId="35" fillId="14" borderId="33" applyNumberFormat="0" applyAlignment="0" applyProtection="0"/>
    <xf numFmtId="0" fontId="35" fillId="14" borderId="33" applyNumberFormat="0" applyAlignment="0" applyProtection="0"/>
    <xf numFmtId="0" fontId="35" fillId="14" borderId="33" applyNumberFormat="0" applyAlignment="0" applyProtection="0"/>
    <xf numFmtId="0" fontId="35" fillId="14" borderId="33" applyNumberFormat="0" applyAlignment="0" applyProtection="0"/>
    <xf numFmtId="0" fontId="35" fillId="14" borderId="33" applyNumberFormat="0" applyAlignment="0" applyProtection="0"/>
    <xf numFmtId="0" fontId="35" fillId="14" borderId="33" applyNumberFormat="0" applyAlignment="0" applyProtection="0"/>
    <xf numFmtId="0" fontId="35" fillId="14" borderId="33" applyNumberFormat="0" applyAlignment="0" applyProtection="0"/>
    <xf numFmtId="0" fontId="35" fillId="14" borderId="33" applyNumberFormat="0" applyAlignment="0" applyProtection="0"/>
    <xf numFmtId="0" fontId="35" fillId="14" borderId="33" applyNumberFormat="0" applyAlignment="0" applyProtection="0"/>
    <xf numFmtId="0" fontId="35" fillId="14" borderId="33" applyNumberFormat="0" applyAlignment="0" applyProtection="0"/>
    <xf numFmtId="0" fontId="35" fillId="14" borderId="33" applyNumberFormat="0" applyAlignment="0" applyProtection="0"/>
    <xf numFmtId="0" fontId="35" fillId="14" borderId="33" applyNumberFormat="0" applyAlignment="0" applyProtection="0"/>
    <xf numFmtId="0" fontId="35" fillId="14" borderId="33" applyNumberFormat="0" applyAlignment="0" applyProtection="0"/>
    <xf numFmtId="0" fontId="35" fillId="14" borderId="33" applyNumberFormat="0" applyAlignment="0" applyProtection="0"/>
    <xf numFmtId="0" fontId="35" fillId="14" borderId="33" applyNumberFormat="0" applyAlignment="0" applyProtection="0"/>
    <xf numFmtId="0" fontId="35" fillId="14" borderId="33" applyNumberFormat="0" applyAlignment="0" applyProtection="0"/>
    <xf numFmtId="0" fontId="35" fillId="14" borderId="33" applyNumberFormat="0" applyAlignment="0" applyProtection="0"/>
    <xf numFmtId="0" fontId="35" fillId="14" borderId="33" applyNumberFormat="0" applyAlignment="0" applyProtection="0"/>
    <xf numFmtId="0" fontId="35" fillId="14" borderId="33" applyNumberFormat="0" applyAlignment="0" applyProtection="0"/>
    <xf numFmtId="0" fontId="35" fillId="14" borderId="33" applyNumberFormat="0" applyAlignment="0" applyProtection="0"/>
    <xf numFmtId="0" fontId="35" fillId="14" borderId="33" applyNumberFormat="0" applyAlignment="0" applyProtection="0"/>
    <xf numFmtId="0" fontId="35" fillId="14" borderId="33" applyNumberFormat="0" applyAlignment="0" applyProtection="0"/>
    <xf numFmtId="0" fontId="35" fillId="14" borderId="33" applyNumberFormat="0" applyAlignment="0" applyProtection="0"/>
    <xf numFmtId="0" fontId="35" fillId="14" borderId="33" applyNumberFormat="0" applyAlignment="0" applyProtection="0"/>
    <xf numFmtId="0" fontId="35" fillId="14" borderId="33" applyNumberFormat="0" applyAlignment="0" applyProtection="0"/>
    <xf numFmtId="0" fontId="35" fillId="14" borderId="33" applyNumberFormat="0" applyAlignment="0" applyProtection="0"/>
    <xf numFmtId="0" fontId="35" fillId="14" borderId="33" applyNumberFormat="0" applyAlignment="0" applyProtection="0"/>
    <xf numFmtId="0" fontId="35" fillId="14" borderId="33" applyNumberFormat="0" applyAlignment="0" applyProtection="0"/>
    <xf numFmtId="0" fontId="35" fillId="14" borderId="33" applyNumberFormat="0" applyAlignment="0" applyProtection="0"/>
    <xf numFmtId="0" fontId="35" fillId="14" borderId="33" applyNumberFormat="0" applyAlignment="0" applyProtection="0"/>
    <xf numFmtId="0" fontId="35" fillId="14" borderId="33" applyNumberFormat="0" applyAlignment="0" applyProtection="0"/>
    <xf numFmtId="0" fontId="35" fillId="14" borderId="33" applyNumberFormat="0" applyAlignment="0" applyProtection="0"/>
    <xf numFmtId="0" fontId="35" fillId="14" borderId="33" applyNumberFormat="0" applyAlignment="0" applyProtection="0"/>
    <xf numFmtId="0" fontId="35" fillId="14" borderId="33" applyNumberFormat="0" applyAlignment="0" applyProtection="0"/>
    <xf numFmtId="0" fontId="35" fillId="14" borderId="33" applyNumberFormat="0" applyAlignment="0" applyProtection="0"/>
    <xf numFmtId="0" fontId="35" fillId="14" borderId="33" applyNumberFormat="0" applyAlignment="0" applyProtection="0"/>
    <xf numFmtId="0" fontId="35" fillId="14" borderId="33" applyNumberFormat="0" applyAlignment="0" applyProtection="0"/>
    <xf numFmtId="0" fontId="35" fillId="14" borderId="33" applyNumberFormat="0" applyAlignment="0" applyProtection="0"/>
    <xf numFmtId="0" fontId="35" fillId="14" borderId="33" applyNumberFormat="0" applyAlignment="0" applyProtection="0"/>
    <xf numFmtId="0" fontId="35" fillId="14" borderId="33" applyNumberFormat="0" applyAlignment="0" applyProtection="0"/>
    <xf numFmtId="0" fontId="35" fillId="14" borderId="33" applyNumberFormat="0" applyAlignment="0" applyProtection="0"/>
    <xf numFmtId="0" fontId="35" fillId="14" borderId="33" applyNumberFormat="0" applyAlignment="0" applyProtection="0"/>
    <xf numFmtId="0" fontId="35" fillId="14" borderId="33" applyNumberFormat="0" applyAlignment="0" applyProtection="0"/>
    <xf numFmtId="0" fontId="35" fillId="14" borderId="33" applyNumberFormat="0" applyAlignment="0" applyProtection="0"/>
    <xf numFmtId="0" fontId="35" fillId="14" borderId="33" applyNumberFormat="0" applyAlignment="0" applyProtection="0"/>
    <xf numFmtId="0" fontId="35" fillId="14" borderId="33" applyNumberFormat="0" applyAlignment="0" applyProtection="0"/>
    <xf numFmtId="0" fontId="35" fillId="14" borderId="33" applyNumberFormat="0" applyAlignment="0" applyProtection="0"/>
    <xf numFmtId="0" fontId="35" fillId="14" borderId="33" applyNumberFormat="0" applyAlignment="0" applyProtection="0"/>
    <xf numFmtId="0" fontId="35" fillId="14" borderId="33" applyNumberFormat="0" applyAlignment="0" applyProtection="0"/>
    <xf numFmtId="0" fontId="35" fillId="14" borderId="33" applyNumberFormat="0" applyAlignment="0" applyProtection="0"/>
    <xf numFmtId="0" fontId="35" fillId="14" borderId="33" applyNumberFormat="0" applyAlignment="0" applyProtection="0"/>
    <xf numFmtId="0" fontId="35" fillId="14" borderId="33" applyNumberFormat="0" applyAlignment="0" applyProtection="0"/>
    <xf numFmtId="0" fontId="35" fillId="14" borderId="33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9" fontId="10" fillId="0" borderId="0" applyFont="0" applyFill="0" applyBorder="0" applyAlignment="0" applyProtection="0"/>
    <xf numFmtId="9" fontId="10" fillId="0" borderId="0" applyFill="0" applyBorder="0" applyAlignment="0" applyProtection="0"/>
    <xf numFmtId="9" fontId="10" fillId="0" borderId="0" applyFill="0" applyBorder="0" applyAlignment="0" applyProtection="0"/>
    <xf numFmtId="9" fontId="10" fillId="0" borderId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41" fillId="27" borderId="36" applyNumberFormat="0" applyAlignment="0" applyProtection="0"/>
    <xf numFmtId="0" fontId="41" fillId="27" borderId="36" applyNumberFormat="0" applyAlignment="0" applyProtection="0"/>
    <xf numFmtId="0" fontId="41" fillId="27" borderId="36" applyNumberFormat="0" applyAlignment="0" applyProtection="0"/>
    <xf numFmtId="0" fontId="41" fillId="27" borderId="36" applyNumberFormat="0" applyAlignment="0" applyProtection="0"/>
    <xf numFmtId="0" fontId="41" fillId="27" borderId="36" applyNumberFormat="0" applyAlignment="0" applyProtection="0"/>
    <xf numFmtId="0" fontId="41" fillId="27" borderId="36" applyNumberFormat="0" applyAlignment="0" applyProtection="0"/>
    <xf numFmtId="0" fontId="41" fillId="27" borderId="36" applyNumberFormat="0" applyAlignment="0" applyProtection="0"/>
    <xf numFmtId="0" fontId="41" fillId="27" borderId="36" applyNumberFormat="0" applyAlignment="0" applyProtection="0"/>
    <xf numFmtId="0" fontId="41" fillId="27" borderId="36" applyNumberFormat="0" applyAlignment="0" applyProtection="0"/>
    <xf numFmtId="0" fontId="41" fillId="27" borderId="36" applyNumberFormat="0" applyAlignment="0" applyProtection="0"/>
    <xf numFmtId="0" fontId="41" fillId="27" borderId="36" applyNumberFormat="0" applyAlignment="0" applyProtection="0"/>
    <xf numFmtId="0" fontId="41" fillId="27" borderId="36" applyNumberFormat="0" applyAlignment="0" applyProtection="0"/>
    <xf numFmtId="0" fontId="41" fillId="27" borderId="36" applyNumberFormat="0" applyAlignment="0" applyProtection="0"/>
    <xf numFmtId="0" fontId="41" fillId="27" borderId="36" applyNumberFormat="0" applyAlignment="0" applyProtection="0"/>
    <xf numFmtId="0" fontId="41" fillId="27" borderId="36" applyNumberFormat="0" applyAlignment="0" applyProtection="0"/>
    <xf numFmtId="0" fontId="41" fillId="27" borderId="36" applyNumberFormat="0" applyAlignment="0" applyProtection="0"/>
    <xf numFmtId="0" fontId="41" fillId="27" borderId="36" applyNumberFormat="0" applyAlignment="0" applyProtection="0"/>
    <xf numFmtId="0" fontId="41" fillId="27" borderId="36" applyNumberFormat="0" applyAlignment="0" applyProtection="0"/>
    <xf numFmtId="0" fontId="41" fillId="27" borderId="36" applyNumberFormat="0" applyAlignment="0" applyProtection="0"/>
    <xf numFmtId="0" fontId="41" fillId="27" borderId="36" applyNumberFormat="0" applyAlignment="0" applyProtection="0"/>
    <xf numFmtId="0" fontId="41" fillId="27" borderId="36" applyNumberFormat="0" applyAlignment="0" applyProtection="0"/>
    <xf numFmtId="0" fontId="41" fillId="27" borderId="36" applyNumberFormat="0" applyAlignment="0" applyProtection="0"/>
    <xf numFmtId="0" fontId="41" fillId="27" borderId="36" applyNumberFormat="0" applyAlignment="0" applyProtection="0"/>
    <xf numFmtId="0" fontId="41" fillId="27" borderId="36" applyNumberFormat="0" applyAlignment="0" applyProtection="0"/>
    <xf numFmtId="0" fontId="41" fillId="27" borderId="36" applyNumberFormat="0" applyAlignment="0" applyProtection="0"/>
    <xf numFmtId="0" fontId="41" fillId="27" borderId="36" applyNumberFormat="0" applyAlignment="0" applyProtection="0"/>
    <xf numFmtId="0" fontId="41" fillId="27" borderId="36" applyNumberFormat="0" applyAlignment="0" applyProtection="0"/>
    <xf numFmtId="0" fontId="41" fillId="27" borderId="36" applyNumberFormat="0" applyAlignment="0" applyProtection="0"/>
    <xf numFmtId="0" fontId="41" fillId="27" borderId="36" applyNumberFormat="0" applyAlignment="0" applyProtection="0"/>
    <xf numFmtId="0" fontId="41" fillId="27" borderId="36" applyNumberFormat="0" applyAlignment="0" applyProtection="0"/>
    <xf numFmtId="0" fontId="41" fillId="27" borderId="36" applyNumberFormat="0" applyAlignment="0" applyProtection="0"/>
    <xf numFmtId="0" fontId="41" fillId="27" borderId="36" applyNumberFormat="0" applyAlignment="0" applyProtection="0"/>
    <xf numFmtId="0" fontId="41" fillId="27" borderId="36" applyNumberFormat="0" applyAlignment="0" applyProtection="0"/>
    <xf numFmtId="0" fontId="41" fillId="27" borderId="36" applyNumberFormat="0" applyAlignment="0" applyProtection="0"/>
    <xf numFmtId="0" fontId="41" fillId="27" borderId="36" applyNumberFormat="0" applyAlignment="0" applyProtection="0"/>
    <xf numFmtId="0" fontId="41" fillId="27" borderId="36" applyNumberFormat="0" applyAlignment="0" applyProtection="0"/>
    <xf numFmtId="0" fontId="41" fillId="27" borderId="36" applyNumberFormat="0" applyAlignment="0" applyProtection="0"/>
    <xf numFmtId="0" fontId="41" fillId="27" borderId="36" applyNumberFormat="0" applyAlignment="0" applyProtection="0"/>
    <xf numFmtId="0" fontId="41" fillId="27" borderId="36" applyNumberFormat="0" applyAlignment="0" applyProtection="0"/>
    <xf numFmtId="0" fontId="41" fillId="27" borderId="36" applyNumberFormat="0" applyAlignment="0" applyProtection="0"/>
    <xf numFmtId="0" fontId="41" fillId="27" borderId="36" applyNumberFormat="0" applyAlignment="0" applyProtection="0"/>
    <xf numFmtId="0" fontId="41" fillId="27" borderId="36" applyNumberFormat="0" applyAlignment="0" applyProtection="0"/>
    <xf numFmtId="0" fontId="41" fillId="27" borderId="36" applyNumberFormat="0" applyAlignment="0" applyProtection="0"/>
    <xf numFmtId="0" fontId="41" fillId="27" borderId="36" applyNumberFormat="0" applyAlignment="0" applyProtection="0"/>
    <xf numFmtId="0" fontId="41" fillId="27" borderId="36" applyNumberFormat="0" applyAlignment="0" applyProtection="0"/>
    <xf numFmtId="0" fontId="41" fillId="27" borderId="36" applyNumberFormat="0" applyAlignment="0" applyProtection="0"/>
    <xf numFmtId="0" fontId="41" fillId="27" borderId="36" applyNumberFormat="0" applyAlignment="0" applyProtection="0"/>
    <xf numFmtId="0" fontId="41" fillId="27" borderId="36" applyNumberFormat="0" applyAlignment="0" applyProtection="0"/>
    <xf numFmtId="0" fontId="41" fillId="27" borderId="36" applyNumberFormat="0" applyAlignment="0" applyProtection="0"/>
    <xf numFmtId="0" fontId="41" fillId="27" borderId="36" applyNumberFormat="0" applyAlignment="0" applyProtection="0"/>
    <xf numFmtId="0" fontId="41" fillId="27" borderId="36" applyNumberFormat="0" applyAlignment="0" applyProtection="0"/>
    <xf numFmtId="0" fontId="41" fillId="27" borderId="36" applyNumberFormat="0" applyAlignment="0" applyProtection="0"/>
    <xf numFmtId="0" fontId="41" fillId="27" borderId="36" applyNumberFormat="0" applyAlignment="0" applyProtection="0"/>
    <xf numFmtId="0" fontId="41" fillId="27" borderId="36" applyNumberFormat="0" applyAlignment="0" applyProtection="0"/>
    <xf numFmtId="0" fontId="41" fillId="27" borderId="36" applyNumberFormat="0" applyAlignment="0" applyProtection="0"/>
    <xf numFmtId="0" fontId="41" fillId="27" borderId="36" applyNumberFormat="0" applyAlignment="0" applyProtection="0"/>
    <xf numFmtId="0" fontId="41" fillId="27" borderId="36" applyNumberFormat="0" applyAlignment="0" applyProtection="0"/>
    <xf numFmtId="0" fontId="41" fillId="27" borderId="36" applyNumberFormat="0" applyAlignment="0" applyProtection="0"/>
    <xf numFmtId="0" fontId="41" fillId="27" borderId="36" applyNumberFormat="0" applyAlignment="0" applyProtection="0"/>
    <xf numFmtId="0" fontId="41" fillId="27" borderId="36" applyNumberFormat="0" applyAlignment="0" applyProtection="0"/>
    <xf numFmtId="0" fontId="41" fillId="27" borderId="36" applyNumberFormat="0" applyAlignment="0" applyProtection="0"/>
    <xf numFmtId="0" fontId="41" fillId="27" borderId="36" applyNumberFormat="0" applyAlignment="0" applyProtection="0"/>
    <xf numFmtId="0" fontId="41" fillId="27" borderId="36" applyNumberFormat="0" applyAlignment="0" applyProtection="0"/>
    <xf numFmtId="0" fontId="41" fillId="27" borderId="36" applyNumberFormat="0" applyAlignment="0" applyProtection="0"/>
    <xf numFmtId="0" fontId="41" fillId="27" borderId="36" applyNumberFormat="0" applyAlignment="0" applyProtection="0"/>
    <xf numFmtId="0" fontId="41" fillId="27" borderId="36" applyNumberFormat="0" applyAlignment="0" applyProtection="0"/>
    <xf numFmtId="0" fontId="41" fillId="27" borderId="36" applyNumberFormat="0" applyAlignment="0" applyProtection="0"/>
    <xf numFmtId="0" fontId="41" fillId="27" borderId="36" applyNumberFormat="0" applyAlignment="0" applyProtection="0"/>
    <xf numFmtId="0" fontId="41" fillId="27" borderId="36" applyNumberFormat="0" applyAlignment="0" applyProtection="0"/>
    <xf numFmtId="0" fontId="41" fillId="27" borderId="36" applyNumberFormat="0" applyAlignment="0" applyProtection="0"/>
    <xf numFmtId="0" fontId="41" fillId="27" borderId="36" applyNumberFormat="0" applyAlignment="0" applyProtection="0"/>
    <xf numFmtId="0" fontId="41" fillId="27" borderId="36" applyNumberFormat="0" applyAlignment="0" applyProtection="0"/>
    <xf numFmtId="0" fontId="41" fillId="27" borderId="36" applyNumberFormat="0" applyAlignment="0" applyProtection="0"/>
    <xf numFmtId="0" fontId="41" fillId="27" borderId="36" applyNumberFormat="0" applyAlignment="0" applyProtection="0"/>
    <xf numFmtId="0" fontId="41" fillId="27" borderId="36" applyNumberFormat="0" applyAlignment="0" applyProtection="0"/>
    <xf numFmtId="0" fontId="41" fillId="27" borderId="36" applyNumberFormat="0" applyAlignment="0" applyProtection="0"/>
    <xf numFmtId="0" fontId="41" fillId="27" borderId="36" applyNumberFormat="0" applyAlignment="0" applyProtection="0"/>
    <xf numFmtId="0" fontId="41" fillId="27" borderId="36" applyNumberFormat="0" applyAlignment="0" applyProtection="0"/>
    <xf numFmtId="0" fontId="41" fillId="27" borderId="36" applyNumberFormat="0" applyAlignment="0" applyProtection="0"/>
    <xf numFmtId="0" fontId="41" fillId="27" borderId="36" applyNumberFormat="0" applyAlignment="0" applyProtection="0"/>
    <xf numFmtId="0" fontId="41" fillId="27" borderId="36" applyNumberFormat="0" applyAlignment="0" applyProtection="0"/>
    <xf numFmtId="0" fontId="41" fillId="27" borderId="36" applyNumberFormat="0" applyAlignment="0" applyProtection="0"/>
    <xf numFmtId="0" fontId="41" fillId="27" borderId="36" applyNumberFormat="0" applyAlignment="0" applyProtection="0"/>
    <xf numFmtId="0" fontId="41" fillId="27" borderId="36" applyNumberFormat="0" applyAlignment="0" applyProtection="0"/>
    <xf numFmtId="0" fontId="41" fillId="27" borderId="36" applyNumberFormat="0" applyAlignment="0" applyProtection="0"/>
    <xf numFmtId="0" fontId="41" fillId="27" borderId="36" applyNumberFormat="0" applyAlignment="0" applyProtection="0"/>
    <xf numFmtId="0" fontId="41" fillId="27" borderId="36" applyNumberFormat="0" applyAlignment="0" applyProtection="0"/>
    <xf numFmtId="0" fontId="41" fillId="27" borderId="36" applyNumberFormat="0" applyAlignment="0" applyProtection="0"/>
    <xf numFmtId="0" fontId="41" fillId="27" borderId="36" applyNumberFormat="0" applyAlignment="0" applyProtection="0"/>
    <xf numFmtId="0" fontId="41" fillId="27" borderId="36" applyNumberFormat="0" applyAlignment="0" applyProtection="0"/>
    <xf numFmtId="0" fontId="41" fillId="27" borderId="36" applyNumberFormat="0" applyAlignment="0" applyProtection="0"/>
    <xf numFmtId="0" fontId="41" fillId="27" borderId="36" applyNumberFormat="0" applyAlignment="0" applyProtection="0"/>
    <xf numFmtId="0" fontId="41" fillId="27" borderId="36" applyNumberFormat="0" applyAlignment="0" applyProtection="0"/>
    <xf numFmtId="0" fontId="41" fillId="27" borderId="36" applyNumberFormat="0" applyAlignment="0" applyProtection="0"/>
    <xf numFmtId="0" fontId="41" fillId="27" borderId="36" applyNumberFormat="0" applyAlignment="0" applyProtection="0"/>
    <xf numFmtId="0" fontId="41" fillId="27" borderId="36" applyNumberFormat="0" applyAlignment="0" applyProtection="0"/>
    <xf numFmtId="0" fontId="41" fillId="27" borderId="36" applyNumberFormat="0" applyAlignment="0" applyProtection="0"/>
    <xf numFmtId="0" fontId="41" fillId="27" borderId="36" applyNumberFormat="0" applyAlignment="0" applyProtection="0"/>
    <xf numFmtId="0" fontId="41" fillId="27" borderId="36" applyNumberFormat="0" applyAlignment="0" applyProtection="0"/>
    <xf numFmtId="0" fontId="41" fillId="27" borderId="36" applyNumberFormat="0" applyAlignment="0" applyProtection="0"/>
    <xf numFmtId="0" fontId="41" fillId="27" borderId="36" applyNumberFormat="0" applyAlignment="0" applyProtection="0"/>
    <xf numFmtId="0" fontId="41" fillId="27" borderId="36" applyNumberFormat="0" applyAlignment="0" applyProtection="0"/>
    <xf numFmtId="0" fontId="41" fillId="27" borderId="36" applyNumberFormat="0" applyAlignment="0" applyProtection="0"/>
    <xf numFmtId="0" fontId="41" fillId="27" borderId="36" applyNumberFormat="0" applyAlignment="0" applyProtection="0"/>
    <xf numFmtId="0" fontId="41" fillId="27" borderId="36" applyNumberFormat="0" applyAlignment="0" applyProtection="0"/>
    <xf numFmtId="0" fontId="41" fillId="27" borderId="36" applyNumberFormat="0" applyAlignment="0" applyProtection="0"/>
    <xf numFmtId="0" fontId="41" fillId="27" borderId="36" applyNumberFormat="0" applyAlignment="0" applyProtection="0"/>
    <xf numFmtId="0" fontId="41" fillId="27" borderId="36" applyNumberFormat="0" applyAlignment="0" applyProtection="0"/>
    <xf numFmtId="0" fontId="41" fillId="27" borderId="36" applyNumberFormat="0" applyAlignment="0" applyProtection="0"/>
    <xf numFmtId="0" fontId="41" fillId="27" borderId="36" applyNumberFormat="0" applyAlignment="0" applyProtection="0"/>
    <xf numFmtId="0" fontId="41" fillId="27" borderId="36" applyNumberFormat="0" applyAlignment="0" applyProtection="0"/>
    <xf numFmtId="0" fontId="41" fillId="27" borderId="36" applyNumberFormat="0" applyAlignment="0" applyProtection="0"/>
    <xf numFmtId="0" fontId="41" fillId="27" borderId="36" applyNumberFormat="0" applyAlignment="0" applyProtection="0"/>
    <xf numFmtId="0" fontId="41" fillId="27" borderId="36" applyNumberFormat="0" applyAlignment="0" applyProtection="0"/>
    <xf numFmtId="0" fontId="41" fillId="27" borderId="36" applyNumberFormat="0" applyAlignment="0" applyProtection="0"/>
    <xf numFmtId="0" fontId="41" fillId="27" borderId="36" applyNumberFormat="0" applyAlignment="0" applyProtection="0"/>
    <xf numFmtId="0" fontId="41" fillId="27" borderId="36" applyNumberFormat="0" applyAlignment="0" applyProtection="0"/>
    <xf numFmtId="0" fontId="41" fillId="27" borderId="36" applyNumberFormat="0" applyAlignment="0" applyProtection="0"/>
    <xf numFmtId="0" fontId="41" fillId="27" borderId="36" applyNumberFormat="0" applyAlignment="0" applyProtection="0"/>
    <xf numFmtId="0" fontId="41" fillId="27" borderId="36" applyNumberFormat="0" applyAlignment="0" applyProtection="0"/>
    <xf numFmtId="0" fontId="41" fillId="27" borderId="36" applyNumberFormat="0" applyAlignment="0" applyProtection="0"/>
    <xf numFmtId="0" fontId="41" fillId="27" borderId="36" applyNumberFormat="0" applyAlignment="0" applyProtection="0"/>
    <xf numFmtId="0" fontId="41" fillId="27" borderId="36" applyNumberFormat="0" applyAlignment="0" applyProtection="0"/>
    <xf numFmtId="0" fontId="41" fillId="27" borderId="36" applyNumberFormat="0" applyAlignment="0" applyProtection="0"/>
    <xf numFmtId="0" fontId="41" fillId="27" borderId="36" applyNumberFormat="0" applyAlignment="0" applyProtection="0"/>
    <xf numFmtId="0" fontId="41" fillId="27" borderId="36" applyNumberFormat="0" applyAlignment="0" applyProtection="0"/>
    <xf numFmtId="0" fontId="41" fillId="27" borderId="36" applyNumberFormat="0" applyAlignment="0" applyProtection="0"/>
    <xf numFmtId="0" fontId="41" fillId="27" borderId="36" applyNumberFormat="0" applyAlignment="0" applyProtection="0"/>
    <xf numFmtId="0" fontId="41" fillId="27" borderId="36" applyNumberFormat="0" applyAlignment="0" applyProtection="0"/>
    <xf numFmtId="0" fontId="41" fillId="27" borderId="36" applyNumberFormat="0" applyAlignment="0" applyProtection="0"/>
    <xf numFmtId="0" fontId="41" fillId="27" borderId="36" applyNumberFormat="0" applyAlignment="0" applyProtection="0"/>
    <xf numFmtId="0" fontId="41" fillId="27" borderId="36" applyNumberFormat="0" applyAlignment="0" applyProtection="0"/>
    <xf numFmtId="0" fontId="41" fillId="27" borderId="36" applyNumberFormat="0" applyAlignment="0" applyProtection="0"/>
    <xf numFmtId="0" fontId="41" fillId="27" borderId="36" applyNumberFormat="0" applyAlignment="0" applyProtection="0"/>
    <xf numFmtId="0" fontId="41" fillId="27" borderId="36" applyNumberFormat="0" applyAlignment="0" applyProtection="0"/>
    <xf numFmtId="0" fontId="41" fillId="27" borderId="36" applyNumberFormat="0" applyAlignment="0" applyProtection="0"/>
    <xf numFmtId="0" fontId="41" fillId="27" borderId="36" applyNumberFormat="0" applyAlignment="0" applyProtection="0"/>
    <xf numFmtId="0" fontId="41" fillId="27" borderId="36" applyNumberFormat="0" applyAlignment="0" applyProtection="0"/>
    <xf numFmtId="0" fontId="41" fillId="27" borderId="36" applyNumberFormat="0" applyAlignment="0" applyProtection="0"/>
    <xf numFmtId="0" fontId="41" fillId="27" borderId="36" applyNumberFormat="0" applyAlignment="0" applyProtection="0"/>
    <xf numFmtId="0" fontId="41" fillId="27" borderId="36" applyNumberFormat="0" applyAlignment="0" applyProtection="0"/>
    <xf numFmtId="0" fontId="41" fillId="27" borderId="36" applyNumberFormat="0" applyAlignment="0" applyProtection="0"/>
    <xf numFmtId="0" fontId="41" fillId="27" borderId="36" applyNumberFormat="0" applyAlignment="0" applyProtection="0"/>
    <xf numFmtId="0" fontId="41" fillId="27" borderId="36" applyNumberFormat="0" applyAlignment="0" applyProtection="0"/>
    <xf numFmtId="0" fontId="41" fillId="27" borderId="36" applyNumberFormat="0" applyAlignment="0" applyProtection="0"/>
    <xf numFmtId="0" fontId="41" fillId="27" borderId="36" applyNumberFormat="0" applyAlignment="0" applyProtection="0"/>
    <xf numFmtId="0" fontId="41" fillId="27" borderId="36" applyNumberFormat="0" applyAlignment="0" applyProtection="0"/>
    <xf numFmtId="0" fontId="41" fillId="27" borderId="36" applyNumberFormat="0" applyAlignment="0" applyProtection="0"/>
    <xf numFmtId="0" fontId="41" fillId="27" borderId="36" applyNumberFormat="0" applyAlignment="0" applyProtection="0"/>
    <xf numFmtId="0" fontId="41" fillId="27" borderId="36" applyNumberFormat="0" applyAlignment="0" applyProtection="0"/>
    <xf numFmtId="0" fontId="41" fillId="27" borderId="36" applyNumberFormat="0" applyAlignment="0" applyProtection="0"/>
    <xf numFmtId="0" fontId="41" fillId="27" borderId="36" applyNumberFormat="0" applyAlignment="0" applyProtection="0"/>
    <xf numFmtId="0" fontId="41" fillId="27" borderId="36" applyNumberFormat="0" applyAlignment="0" applyProtection="0"/>
    <xf numFmtId="0" fontId="41" fillId="27" borderId="36" applyNumberFormat="0" applyAlignment="0" applyProtection="0"/>
    <xf numFmtId="0" fontId="41" fillId="27" borderId="36" applyNumberFormat="0" applyAlignment="0" applyProtection="0"/>
    <xf numFmtId="0" fontId="41" fillId="27" borderId="36" applyNumberFormat="0" applyAlignment="0" applyProtection="0"/>
    <xf numFmtId="0" fontId="41" fillId="27" borderId="36" applyNumberFormat="0" applyAlignment="0" applyProtection="0"/>
    <xf numFmtId="0" fontId="41" fillId="27" borderId="36" applyNumberFormat="0" applyAlignment="0" applyProtection="0"/>
    <xf numFmtId="0" fontId="41" fillId="27" borderId="36" applyNumberFormat="0" applyAlignment="0" applyProtection="0"/>
    <xf numFmtId="0" fontId="41" fillId="27" borderId="36" applyNumberFormat="0" applyAlignment="0" applyProtection="0"/>
    <xf numFmtId="0" fontId="41" fillId="27" borderId="36" applyNumberFormat="0" applyAlignment="0" applyProtection="0"/>
    <xf numFmtId="0" fontId="41" fillId="27" borderId="36" applyNumberFormat="0" applyAlignment="0" applyProtection="0"/>
    <xf numFmtId="0" fontId="41" fillId="27" borderId="36" applyNumberFormat="0" applyAlignment="0" applyProtection="0"/>
    <xf numFmtId="0" fontId="41" fillId="27" borderId="36" applyNumberFormat="0" applyAlignment="0" applyProtection="0"/>
    <xf numFmtId="0" fontId="41" fillId="27" borderId="36" applyNumberFormat="0" applyAlignment="0" applyProtection="0"/>
    <xf numFmtId="0" fontId="41" fillId="27" borderId="36" applyNumberFormat="0" applyAlignment="0" applyProtection="0"/>
    <xf numFmtId="0" fontId="41" fillId="27" borderId="36" applyNumberFormat="0" applyAlignment="0" applyProtection="0"/>
    <xf numFmtId="0" fontId="41" fillId="27" borderId="36" applyNumberFormat="0" applyAlignment="0" applyProtection="0"/>
    <xf numFmtId="0" fontId="41" fillId="27" borderId="36" applyNumberFormat="0" applyAlignment="0" applyProtection="0"/>
    <xf numFmtId="0" fontId="41" fillId="27" borderId="36" applyNumberFormat="0" applyAlignment="0" applyProtection="0"/>
    <xf numFmtId="0" fontId="41" fillId="27" borderId="36" applyNumberFormat="0" applyAlignment="0" applyProtection="0"/>
    <xf numFmtId="0" fontId="41" fillId="27" borderId="36" applyNumberFormat="0" applyAlignment="0" applyProtection="0"/>
    <xf numFmtId="0" fontId="41" fillId="27" borderId="36" applyNumberFormat="0" applyAlignment="0" applyProtection="0"/>
    <xf numFmtId="0" fontId="41" fillId="27" borderId="36" applyNumberFormat="0" applyAlignment="0" applyProtection="0"/>
    <xf numFmtId="0" fontId="41" fillId="27" borderId="36" applyNumberFormat="0" applyAlignment="0" applyProtection="0"/>
    <xf numFmtId="0" fontId="41" fillId="27" borderId="36" applyNumberFormat="0" applyAlignment="0" applyProtection="0"/>
    <xf numFmtId="0" fontId="41" fillId="27" borderId="36" applyNumberFormat="0" applyAlignment="0" applyProtection="0"/>
    <xf numFmtId="0" fontId="41" fillId="27" borderId="36" applyNumberFormat="0" applyAlignment="0" applyProtection="0"/>
    <xf numFmtId="0" fontId="41" fillId="27" borderId="36" applyNumberFormat="0" applyAlignment="0" applyProtection="0"/>
    <xf numFmtId="0" fontId="41" fillId="27" borderId="36" applyNumberFormat="0" applyAlignment="0" applyProtection="0"/>
    <xf numFmtId="0" fontId="41" fillId="27" borderId="36" applyNumberFormat="0" applyAlignment="0" applyProtection="0"/>
    <xf numFmtId="0" fontId="41" fillId="27" borderId="36" applyNumberFormat="0" applyAlignment="0" applyProtection="0"/>
    <xf numFmtId="0" fontId="47" fillId="0" borderId="40" applyNumberFormat="0" applyFill="0" applyAlignment="0" applyProtection="0"/>
    <xf numFmtId="0" fontId="47" fillId="0" borderId="40" applyNumberFormat="0" applyFill="0" applyAlignment="0" applyProtection="0"/>
    <xf numFmtId="0" fontId="47" fillId="0" borderId="40" applyNumberFormat="0" applyFill="0" applyAlignment="0" applyProtection="0"/>
    <xf numFmtId="0" fontId="47" fillId="0" borderId="40" applyNumberFormat="0" applyFill="0" applyAlignment="0" applyProtection="0"/>
    <xf numFmtId="0" fontId="47" fillId="0" borderId="40" applyNumberFormat="0" applyFill="0" applyAlignment="0" applyProtection="0"/>
    <xf numFmtId="0" fontId="47" fillId="0" borderId="40" applyNumberFormat="0" applyFill="0" applyAlignment="0" applyProtection="0"/>
    <xf numFmtId="0" fontId="47" fillId="0" borderId="40" applyNumberFormat="0" applyFill="0" applyAlignment="0" applyProtection="0"/>
    <xf numFmtId="0" fontId="47" fillId="0" borderId="40" applyNumberFormat="0" applyFill="0" applyAlignment="0" applyProtection="0"/>
    <xf numFmtId="0" fontId="47" fillId="0" borderId="40" applyNumberFormat="0" applyFill="0" applyAlignment="0" applyProtection="0"/>
    <xf numFmtId="0" fontId="47" fillId="0" borderId="40" applyNumberFormat="0" applyFill="0" applyAlignment="0" applyProtection="0"/>
    <xf numFmtId="0" fontId="47" fillId="0" borderId="40" applyNumberFormat="0" applyFill="0" applyAlignment="0" applyProtection="0"/>
    <xf numFmtId="0" fontId="47" fillId="0" borderId="40" applyNumberFormat="0" applyFill="0" applyAlignment="0" applyProtection="0"/>
    <xf numFmtId="0" fontId="47" fillId="0" borderId="40" applyNumberFormat="0" applyFill="0" applyAlignment="0" applyProtection="0"/>
    <xf numFmtId="0" fontId="47" fillId="0" borderId="40" applyNumberFormat="0" applyFill="0" applyAlignment="0" applyProtection="0"/>
    <xf numFmtId="0" fontId="47" fillId="0" borderId="40" applyNumberFormat="0" applyFill="0" applyAlignment="0" applyProtection="0"/>
    <xf numFmtId="0" fontId="47" fillId="0" borderId="40" applyNumberFormat="0" applyFill="0" applyAlignment="0" applyProtection="0"/>
    <xf numFmtId="0" fontId="47" fillId="0" borderId="40" applyNumberFormat="0" applyFill="0" applyAlignment="0" applyProtection="0"/>
    <xf numFmtId="0" fontId="47" fillId="0" borderId="40" applyNumberFormat="0" applyFill="0" applyAlignment="0" applyProtection="0"/>
    <xf numFmtId="0" fontId="47" fillId="0" borderId="40" applyNumberFormat="0" applyFill="0" applyAlignment="0" applyProtection="0"/>
    <xf numFmtId="0" fontId="47" fillId="0" borderId="40" applyNumberFormat="0" applyFill="0" applyAlignment="0" applyProtection="0"/>
    <xf numFmtId="0" fontId="47" fillId="0" borderId="40" applyNumberFormat="0" applyFill="0" applyAlignment="0" applyProtection="0"/>
    <xf numFmtId="0" fontId="47" fillId="0" borderId="40" applyNumberFormat="0" applyFill="0" applyAlignment="0" applyProtection="0"/>
    <xf numFmtId="0" fontId="47" fillId="0" borderId="40" applyNumberFormat="0" applyFill="0" applyAlignment="0" applyProtection="0"/>
    <xf numFmtId="0" fontId="47" fillId="0" borderId="40" applyNumberFormat="0" applyFill="0" applyAlignment="0" applyProtection="0"/>
    <xf numFmtId="0" fontId="47" fillId="0" borderId="40" applyNumberFormat="0" applyFill="0" applyAlignment="0" applyProtection="0"/>
    <xf numFmtId="0" fontId="47" fillId="0" borderId="40" applyNumberFormat="0" applyFill="0" applyAlignment="0" applyProtection="0"/>
    <xf numFmtId="0" fontId="47" fillId="0" borderId="40" applyNumberFormat="0" applyFill="0" applyAlignment="0" applyProtection="0"/>
    <xf numFmtId="0" fontId="47" fillId="0" borderId="40" applyNumberFormat="0" applyFill="0" applyAlignment="0" applyProtection="0"/>
    <xf numFmtId="0" fontId="47" fillId="0" borderId="40" applyNumberFormat="0" applyFill="0" applyAlignment="0" applyProtection="0"/>
    <xf numFmtId="0" fontId="47" fillId="0" borderId="40" applyNumberFormat="0" applyFill="0" applyAlignment="0" applyProtection="0"/>
    <xf numFmtId="0" fontId="47" fillId="0" borderId="40" applyNumberFormat="0" applyFill="0" applyAlignment="0" applyProtection="0"/>
    <xf numFmtId="0" fontId="47" fillId="0" borderId="40" applyNumberFormat="0" applyFill="0" applyAlignment="0" applyProtection="0"/>
    <xf numFmtId="0" fontId="47" fillId="0" borderId="40" applyNumberFormat="0" applyFill="0" applyAlignment="0" applyProtection="0"/>
    <xf numFmtId="0" fontId="47" fillId="0" borderId="40" applyNumberFormat="0" applyFill="0" applyAlignment="0" applyProtection="0"/>
    <xf numFmtId="0" fontId="47" fillId="0" borderId="40" applyNumberFormat="0" applyFill="0" applyAlignment="0" applyProtection="0"/>
    <xf numFmtId="0" fontId="47" fillId="0" borderId="40" applyNumberFormat="0" applyFill="0" applyAlignment="0" applyProtection="0"/>
    <xf numFmtId="0" fontId="47" fillId="0" borderId="40" applyNumberFormat="0" applyFill="0" applyAlignment="0" applyProtection="0"/>
    <xf numFmtId="0" fontId="47" fillId="0" borderId="40" applyNumberFormat="0" applyFill="0" applyAlignment="0" applyProtection="0"/>
    <xf numFmtId="0" fontId="47" fillId="0" borderId="40" applyNumberFormat="0" applyFill="0" applyAlignment="0" applyProtection="0"/>
    <xf numFmtId="0" fontId="47" fillId="0" borderId="40" applyNumberFormat="0" applyFill="0" applyAlignment="0" applyProtection="0"/>
    <xf numFmtId="0" fontId="47" fillId="0" borderId="40" applyNumberFormat="0" applyFill="0" applyAlignment="0" applyProtection="0"/>
    <xf numFmtId="0" fontId="47" fillId="0" borderId="40" applyNumberFormat="0" applyFill="0" applyAlignment="0" applyProtection="0"/>
    <xf numFmtId="0" fontId="47" fillId="0" borderId="40" applyNumberFormat="0" applyFill="0" applyAlignment="0" applyProtection="0"/>
    <xf numFmtId="0" fontId="47" fillId="0" borderId="40" applyNumberFormat="0" applyFill="0" applyAlignment="0" applyProtection="0"/>
    <xf numFmtId="0" fontId="47" fillId="0" borderId="40" applyNumberFormat="0" applyFill="0" applyAlignment="0" applyProtection="0"/>
    <xf numFmtId="0" fontId="47" fillId="0" borderId="40" applyNumberFormat="0" applyFill="0" applyAlignment="0" applyProtection="0"/>
    <xf numFmtId="0" fontId="47" fillId="0" borderId="40" applyNumberFormat="0" applyFill="0" applyAlignment="0" applyProtection="0"/>
    <xf numFmtId="0" fontId="47" fillId="0" borderId="40" applyNumberFormat="0" applyFill="0" applyAlignment="0" applyProtection="0"/>
    <xf numFmtId="0" fontId="47" fillId="0" borderId="40" applyNumberFormat="0" applyFill="0" applyAlignment="0" applyProtection="0"/>
    <xf numFmtId="0" fontId="47" fillId="0" borderId="40" applyNumberFormat="0" applyFill="0" applyAlignment="0" applyProtection="0"/>
    <xf numFmtId="0" fontId="47" fillId="0" borderId="40" applyNumberFormat="0" applyFill="0" applyAlignment="0" applyProtection="0"/>
    <xf numFmtId="0" fontId="47" fillId="0" borderId="40" applyNumberFormat="0" applyFill="0" applyAlignment="0" applyProtection="0"/>
    <xf numFmtId="0" fontId="47" fillId="0" borderId="40" applyNumberFormat="0" applyFill="0" applyAlignment="0" applyProtection="0"/>
    <xf numFmtId="0" fontId="47" fillId="0" borderId="40" applyNumberFormat="0" applyFill="0" applyAlignment="0" applyProtection="0"/>
    <xf numFmtId="0" fontId="47" fillId="0" borderId="40" applyNumberFormat="0" applyFill="0" applyAlignment="0" applyProtection="0"/>
    <xf numFmtId="0" fontId="47" fillId="0" borderId="40" applyNumberFormat="0" applyFill="0" applyAlignment="0" applyProtection="0"/>
    <xf numFmtId="0" fontId="47" fillId="0" borderId="40" applyNumberFormat="0" applyFill="0" applyAlignment="0" applyProtection="0"/>
    <xf numFmtId="0" fontId="47" fillId="0" borderId="40" applyNumberFormat="0" applyFill="0" applyAlignment="0" applyProtection="0"/>
    <xf numFmtId="0" fontId="47" fillId="0" borderId="40" applyNumberFormat="0" applyFill="0" applyAlignment="0" applyProtection="0"/>
    <xf numFmtId="0" fontId="47" fillId="0" borderId="40" applyNumberFormat="0" applyFill="0" applyAlignment="0" applyProtection="0"/>
    <xf numFmtId="0" fontId="47" fillId="0" borderId="40" applyNumberFormat="0" applyFill="0" applyAlignment="0" applyProtection="0"/>
    <xf numFmtId="0" fontId="47" fillId="0" borderId="40" applyNumberFormat="0" applyFill="0" applyAlignment="0" applyProtection="0"/>
    <xf numFmtId="0" fontId="47" fillId="0" borderId="40" applyNumberFormat="0" applyFill="0" applyAlignment="0" applyProtection="0"/>
    <xf numFmtId="0" fontId="47" fillId="0" borderId="40" applyNumberFormat="0" applyFill="0" applyAlignment="0" applyProtection="0"/>
    <xf numFmtId="0" fontId="47" fillId="0" borderId="40" applyNumberFormat="0" applyFill="0" applyAlignment="0" applyProtection="0"/>
    <xf numFmtId="0" fontId="47" fillId="0" borderId="40" applyNumberFormat="0" applyFill="0" applyAlignment="0" applyProtection="0"/>
    <xf numFmtId="0" fontId="47" fillId="0" borderId="40" applyNumberFormat="0" applyFill="0" applyAlignment="0" applyProtection="0"/>
    <xf numFmtId="0" fontId="47" fillId="0" borderId="40" applyNumberFormat="0" applyFill="0" applyAlignment="0" applyProtection="0"/>
    <xf numFmtId="0" fontId="47" fillId="0" borderId="40" applyNumberFormat="0" applyFill="0" applyAlignment="0" applyProtection="0"/>
    <xf numFmtId="0" fontId="47" fillId="0" borderId="40" applyNumberFormat="0" applyFill="0" applyAlignment="0" applyProtection="0"/>
    <xf numFmtId="0" fontId="47" fillId="0" borderId="40" applyNumberFormat="0" applyFill="0" applyAlignment="0" applyProtection="0"/>
    <xf numFmtId="0" fontId="47" fillId="0" borderId="40" applyNumberFormat="0" applyFill="0" applyAlignment="0" applyProtection="0"/>
    <xf numFmtId="0" fontId="47" fillId="0" borderId="40" applyNumberFormat="0" applyFill="0" applyAlignment="0" applyProtection="0"/>
    <xf numFmtId="0" fontId="47" fillId="0" borderId="40" applyNumberFormat="0" applyFill="0" applyAlignment="0" applyProtection="0"/>
    <xf numFmtId="0" fontId="47" fillId="0" borderId="40" applyNumberFormat="0" applyFill="0" applyAlignment="0" applyProtection="0"/>
    <xf numFmtId="0" fontId="47" fillId="0" borderId="40" applyNumberFormat="0" applyFill="0" applyAlignment="0" applyProtection="0"/>
    <xf numFmtId="0" fontId="47" fillId="0" borderId="40" applyNumberFormat="0" applyFill="0" applyAlignment="0" applyProtection="0"/>
    <xf numFmtId="0" fontId="47" fillId="0" borderId="40" applyNumberFormat="0" applyFill="0" applyAlignment="0" applyProtection="0"/>
    <xf numFmtId="0" fontId="47" fillId="0" borderId="40" applyNumberFormat="0" applyFill="0" applyAlignment="0" applyProtection="0"/>
    <xf numFmtId="0" fontId="47" fillId="0" borderId="40" applyNumberFormat="0" applyFill="0" applyAlignment="0" applyProtection="0"/>
    <xf numFmtId="0" fontId="47" fillId="0" borderId="40" applyNumberFormat="0" applyFill="0" applyAlignment="0" applyProtection="0"/>
    <xf numFmtId="0" fontId="47" fillId="0" borderId="40" applyNumberFormat="0" applyFill="0" applyAlignment="0" applyProtection="0"/>
    <xf numFmtId="0" fontId="47" fillId="0" borderId="40" applyNumberFormat="0" applyFill="0" applyAlignment="0" applyProtection="0"/>
    <xf numFmtId="0" fontId="47" fillId="0" borderId="40" applyNumberFormat="0" applyFill="0" applyAlignment="0" applyProtection="0"/>
    <xf numFmtId="0" fontId="47" fillId="0" borderId="40" applyNumberFormat="0" applyFill="0" applyAlignment="0" applyProtection="0"/>
    <xf numFmtId="0" fontId="47" fillId="0" borderId="40" applyNumberFormat="0" applyFill="0" applyAlignment="0" applyProtection="0"/>
    <xf numFmtId="0" fontId="47" fillId="0" borderId="40" applyNumberFormat="0" applyFill="0" applyAlignment="0" applyProtection="0"/>
    <xf numFmtId="0" fontId="47" fillId="0" borderId="40" applyNumberFormat="0" applyFill="0" applyAlignment="0" applyProtection="0"/>
    <xf numFmtId="0" fontId="47" fillId="0" borderId="40" applyNumberFormat="0" applyFill="0" applyAlignment="0" applyProtection="0"/>
    <xf numFmtId="0" fontId="47" fillId="0" borderId="40" applyNumberFormat="0" applyFill="0" applyAlignment="0" applyProtection="0"/>
    <xf numFmtId="0" fontId="47" fillId="0" borderId="40" applyNumberFormat="0" applyFill="0" applyAlignment="0" applyProtection="0"/>
    <xf numFmtId="0" fontId="47" fillId="0" borderId="40" applyNumberFormat="0" applyFill="0" applyAlignment="0" applyProtection="0"/>
    <xf numFmtId="0" fontId="47" fillId="0" borderId="40" applyNumberFormat="0" applyFill="0" applyAlignment="0" applyProtection="0"/>
    <xf numFmtId="0" fontId="47" fillId="0" borderId="40" applyNumberFormat="0" applyFill="0" applyAlignment="0" applyProtection="0"/>
    <xf numFmtId="0" fontId="47" fillId="0" borderId="40" applyNumberFormat="0" applyFill="0" applyAlignment="0" applyProtection="0"/>
    <xf numFmtId="0" fontId="47" fillId="0" borderId="40" applyNumberFormat="0" applyFill="0" applyAlignment="0" applyProtection="0"/>
    <xf numFmtId="0" fontId="47" fillId="0" borderId="40" applyNumberFormat="0" applyFill="0" applyAlignment="0" applyProtection="0"/>
    <xf numFmtId="0" fontId="47" fillId="0" borderId="40" applyNumberFormat="0" applyFill="0" applyAlignment="0" applyProtection="0"/>
    <xf numFmtId="0" fontId="47" fillId="0" borderId="40" applyNumberFormat="0" applyFill="0" applyAlignment="0" applyProtection="0"/>
    <xf numFmtId="0" fontId="47" fillId="0" borderId="40" applyNumberFormat="0" applyFill="0" applyAlignment="0" applyProtection="0"/>
    <xf numFmtId="0" fontId="47" fillId="0" borderId="40" applyNumberFormat="0" applyFill="0" applyAlignment="0" applyProtection="0"/>
    <xf numFmtId="0" fontId="47" fillId="0" borderId="40" applyNumberFormat="0" applyFill="0" applyAlignment="0" applyProtection="0"/>
    <xf numFmtId="0" fontId="47" fillId="0" borderId="40" applyNumberFormat="0" applyFill="0" applyAlignment="0" applyProtection="0"/>
    <xf numFmtId="0" fontId="47" fillId="0" borderId="40" applyNumberFormat="0" applyFill="0" applyAlignment="0" applyProtection="0"/>
    <xf numFmtId="0" fontId="47" fillId="0" borderId="40" applyNumberFormat="0" applyFill="0" applyAlignment="0" applyProtection="0"/>
    <xf numFmtId="0" fontId="47" fillId="0" borderId="40" applyNumberFormat="0" applyFill="0" applyAlignment="0" applyProtection="0"/>
    <xf numFmtId="0" fontId="47" fillId="0" borderId="40" applyNumberFormat="0" applyFill="0" applyAlignment="0" applyProtection="0"/>
    <xf numFmtId="0" fontId="47" fillId="0" borderId="40" applyNumberFormat="0" applyFill="0" applyAlignment="0" applyProtection="0"/>
    <xf numFmtId="0" fontId="47" fillId="0" borderId="40" applyNumberFormat="0" applyFill="0" applyAlignment="0" applyProtection="0"/>
    <xf numFmtId="0" fontId="47" fillId="0" borderId="40" applyNumberFormat="0" applyFill="0" applyAlignment="0" applyProtection="0"/>
    <xf numFmtId="0" fontId="47" fillId="0" borderId="40" applyNumberFormat="0" applyFill="0" applyAlignment="0" applyProtection="0"/>
    <xf numFmtId="0" fontId="47" fillId="0" borderId="40" applyNumberFormat="0" applyFill="0" applyAlignment="0" applyProtection="0"/>
    <xf numFmtId="0" fontId="47" fillId="0" borderId="40" applyNumberFormat="0" applyFill="0" applyAlignment="0" applyProtection="0"/>
    <xf numFmtId="0" fontId="47" fillId="0" borderId="40" applyNumberFormat="0" applyFill="0" applyAlignment="0" applyProtection="0"/>
    <xf numFmtId="0" fontId="47" fillId="0" borderId="40" applyNumberFormat="0" applyFill="0" applyAlignment="0" applyProtection="0"/>
    <xf numFmtId="0" fontId="47" fillId="0" borderId="40" applyNumberFormat="0" applyFill="0" applyAlignment="0" applyProtection="0"/>
    <xf numFmtId="0" fontId="47" fillId="0" borderId="40" applyNumberFormat="0" applyFill="0" applyAlignment="0" applyProtection="0"/>
    <xf numFmtId="0" fontId="47" fillId="0" borderId="40" applyNumberFormat="0" applyFill="0" applyAlignment="0" applyProtection="0"/>
    <xf numFmtId="0" fontId="47" fillId="0" borderId="40" applyNumberFormat="0" applyFill="0" applyAlignment="0" applyProtection="0"/>
    <xf numFmtId="0" fontId="47" fillId="0" borderId="40" applyNumberFormat="0" applyFill="0" applyAlignment="0" applyProtection="0"/>
    <xf numFmtId="0" fontId="47" fillId="0" borderId="40" applyNumberFormat="0" applyFill="0" applyAlignment="0" applyProtection="0"/>
    <xf numFmtId="0" fontId="47" fillId="0" borderId="40" applyNumberFormat="0" applyFill="0" applyAlignment="0" applyProtection="0"/>
    <xf numFmtId="0" fontId="47" fillId="0" borderId="40" applyNumberFormat="0" applyFill="0" applyAlignment="0" applyProtection="0"/>
    <xf numFmtId="0" fontId="47" fillId="0" borderId="40" applyNumberFormat="0" applyFill="0" applyAlignment="0" applyProtection="0"/>
    <xf numFmtId="0" fontId="47" fillId="0" borderId="40" applyNumberFormat="0" applyFill="0" applyAlignment="0" applyProtection="0"/>
    <xf numFmtId="0" fontId="47" fillId="0" borderId="40" applyNumberFormat="0" applyFill="0" applyAlignment="0" applyProtection="0"/>
    <xf numFmtId="0" fontId="47" fillId="0" borderId="40" applyNumberFormat="0" applyFill="0" applyAlignment="0" applyProtection="0"/>
    <xf numFmtId="0" fontId="47" fillId="0" borderId="40" applyNumberFormat="0" applyFill="0" applyAlignment="0" applyProtection="0"/>
    <xf numFmtId="0" fontId="47" fillId="0" borderId="40" applyNumberFormat="0" applyFill="0" applyAlignment="0" applyProtection="0"/>
    <xf numFmtId="0" fontId="47" fillId="0" borderId="40" applyNumberFormat="0" applyFill="0" applyAlignment="0" applyProtection="0"/>
    <xf numFmtId="0" fontId="47" fillId="0" borderId="40" applyNumberFormat="0" applyFill="0" applyAlignment="0" applyProtection="0"/>
    <xf numFmtId="0" fontId="47" fillId="0" borderId="40" applyNumberFormat="0" applyFill="0" applyAlignment="0" applyProtection="0"/>
    <xf numFmtId="0" fontId="47" fillId="0" borderId="40" applyNumberFormat="0" applyFill="0" applyAlignment="0" applyProtection="0"/>
    <xf numFmtId="0" fontId="47" fillId="0" borderId="40" applyNumberFormat="0" applyFill="0" applyAlignment="0" applyProtection="0"/>
    <xf numFmtId="0" fontId="47" fillId="0" borderId="40" applyNumberFormat="0" applyFill="0" applyAlignment="0" applyProtection="0"/>
    <xf numFmtId="0" fontId="47" fillId="0" borderId="40" applyNumberFormat="0" applyFill="0" applyAlignment="0" applyProtection="0"/>
    <xf numFmtId="0" fontId="47" fillId="0" borderId="40" applyNumberFormat="0" applyFill="0" applyAlignment="0" applyProtection="0"/>
    <xf numFmtId="0" fontId="47" fillId="0" borderId="40" applyNumberFormat="0" applyFill="0" applyAlignment="0" applyProtection="0"/>
    <xf numFmtId="0" fontId="47" fillId="0" borderId="40" applyNumberFormat="0" applyFill="0" applyAlignment="0" applyProtection="0"/>
    <xf numFmtId="0" fontId="47" fillId="0" borderId="40" applyNumberFormat="0" applyFill="0" applyAlignment="0" applyProtection="0"/>
    <xf numFmtId="0" fontId="47" fillId="0" borderId="40" applyNumberFormat="0" applyFill="0" applyAlignment="0" applyProtection="0"/>
    <xf numFmtId="0" fontId="47" fillId="0" borderId="40" applyNumberFormat="0" applyFill="0" applyAlignment="0" applyProtection="0"/>
    <xf numFmtId="0" fontId="47" fillId="0" borderId="40" applyNumberFormat="0" applyFill="0" applyAlignment="0" applyProtection="0"/>
    <xf numFmtId="0" fontId="47" fillId="0" borderId="40" applyNumberFormat="0" applyFill="0" applyAlignment="0" applyProtection="0"/>
    <xf numFmtId="0" fontId="47" fillId="0" borderId="40" applyNumberFormat="0" applyFill="0" applyAlignment="0" applyProtection="0"/>
    <xf numFmtId="0" fontId="47" fillId="0" borderId="40" applyNumberFormat="0" applyFill="0" applyAlignment="0" applyProtection="0"/>
    <xf numFmtId="0" fontId="47" fillId="0" borderId="40" applyNumberFormat="0" applyFill="0" applyAlignment="0" applyProtection="0"/>
    <xf numFmtId="0" fontId="47" fillId="0" borderId="40" applyNumberFormat="0" applyFill="0" applyAlignment="0" applyProtection="0"/>
    <xf numFmtId="0" fontId="47" fillId="0" borderId="40" applyNumberFormat="0" applyFill="0" applyAlignment="0" applyProtection="0"/>
    <xf numFmtId="0" fontId="47" fillId="0" borderId="40" applyNumberFormat="0" applyFill="0" applyAlignment="0" applyProtection="0"/>
    <xf numFmtId="0" fontId="47" fillId="0" borderId="40" applyNumberFormat="0" applyFill="0" applyAlignment="0" applyProtection="0"/>
    <xf numFmtId="0" fontId="47" fillId="0" borderId="40" applyNumberFormat="0" applyFill="0" applyAlignment="0" applyProtection="0"/>
    <xf numFmtId="0" fontId="47" fillId="0" borderId="40" applyNumberFormat="0" applyFill="0" applyAlignment="0" applyProtection="0"/>
    <xf numFmtId="0" fontId="47" fillId="0" borderId="40" applyNumberFormat="0" applyFill="0" applyAlignment="0" applyProtection="0"/>
    <xf numFmtId="0" fontId="47" fillId="0" borderId="40" applyNumberFormat="0" applyFill="0" applyAlignment="0" applyProtection="0"/>
    <xf numFmtId="0" fontId="47" fillId="0" borderId="40" applyNumberFormat="0" applyFill="0" applyAlignment="0" applyProtection="0"/>
    <xf numFmtId="0" fontId="47" fillId="0" borderId="40" applyNumberFormat="0" applyFill="0" applyAlignment="0" applyProtection="0"/>
    <xf numFmtId="0" fontId="47" fillId="0" borderId="40" applyNumberFormat="0" applyFill="0" applyAlignment="0" applyProtection="0"/>
    <xf numFmtId="0" fontId="47" fillId="0" borderId="40" applyNumberFormat="0" applyFill="0" applyAlignment="0" applyProtection="0"/>
    <xf numFmtId="0" fontId="47" fillId="0" borderId="40" applyNumberFormat="0" applyFill="0" applyAlignment="0" applyProtection="0"/>
    <xf numFmtId="0" fontId="47" fillId="0" borderId="40" applyNumberFormat="0" applyFill="0" applyAlignment="0" applyProtection="0"/>
    <xf numFmtId="0" fontId="47" fillId="0" borderId="40" applyNumberFormat="0" applyFill="0" applyAlignment="0" applyProtection="0"/>
    <xf numFmtId="0" fontId="47" fillId="0" borderId="40" applyNumberFormat="0" applyFill="0" applyAlignment="0" applyProtection="0"/>
    <xf numFmtId="0" fontId="47" fillId="0" borderId="40" applyNumberFormat="0" applyFill="0" applyAlignment="0" applyProtection="0"/>
    <xf numFmtId="0" fontId="47" fillId="0" borderId="40" applyNumberFormat="0" applyFill="0" applyAlignment="0" applyProtection="0"/>
    <xf numFmtId="0" fontId="47" fillId="0" borderId="40" applyNumberFormat="0" applyFill="0" applyAlignment="0" applyProtection="0"/>
    <xf numFmtId="0" fontId="47" fillId="0" borderId="40" applyNumberFormat="0" applyFill="0" applyAlignment="0" applyProtection="0"/>
    <xf numFmtId="0" fontId="47" fillId="0" borderId="40" applyNumberFormat="0" applyFill="0" applyAlignment="0" applyProtection="0"/>
    <xf numFmtId="0" fontId="47" fillId="0" borderId="40" applyNumberFormat="0" applyFill="0" applyAlignment="0" applyProtection="0"/>
    <xf numFmtId="0" fontId="47" fillId="0" borderId="40" applyNumberFormat="0" applyFill="0" applyAlignment="0" applyProtection="0"/>
    <xf numFmtId="0" fontId="47" fillId="0" borderId="40" applyNumberFormat="0" applyFill="0" applyAlignment="0" applyProtection="0"/>
    <xf numFmtId="0" fontId="47" fillId="0" borderId="40" applyNumberFormat="0" applyFill="0" applyAlignment="0" applyProtection="0"/>
    <xf numFmtId="0" fontId="47" fillId="0" borderId="40" applyNumberFormat="0" applyFill="0" applyAlignment="0" applyProtection="0"/>
    <xf numFmtId="0" fontId="47" fillId="0" borderId="40" applyNumberFormat="0" applyFill="0" applyAlignment="0" applyProtection="0"/>
    <xf numFmtId="0" fontId="47" fillId="0" borderId="40" applyNumberFormat="0" applyFill="0" applyAlignment="0" applyProtection="0"/>
    <xf numFmtId="0" fontId="47" fillId="0" borderId="40" applyNumberFormat="0" applyFill="0" applyAlignment="0" applyProtection="0"/>
    <xf numFmtId="0" fontId="47" fillId="0" borderId="40" applyNumberFormat="0" applyFill="0" applyAlignment="0" applyProtection="0"/>
    <xf numFmtId="0" fontId="47" fillId="0" borderId="40" applyNumberFormat="0" applyFill="0" applyAlignment="0" applyProtection="0"/>
    <xf numFmtId="0" fontId="47" fillId="0" borderId="40" applyNumberFormat="0" applyFill="0" applyAlignment="0" applyProtection="0"/>
    <xf numFmtId="0" fontId="47" fillId="0" borderId="40" applyNumberFormat="0" applyFill="0" applyAlignment="0" applyProtection="0"/>
    <xf numFmtId="0" fontId="47" fillId="0" borderId="40" applyNumberFormat="0" applyFill="0" applyAlignment="0" applyProtection="0"/>
    <xf numFmtId="0" fontId="47" fillId="0" borderId="40" applyNumberFormat="0" applyFill="0" applyAlignment="0" applyProtection="0"/>
    <xf numFmtId="0" fontId="52" fillId="0" borderId="0"/>
    <xf numFmtId="9" fontId="52" fillId="0" borderId="0" applyFont="0" applyFill="0" applyBorder="0" applyAlignment="0" applyProtection="0"/>
    <xf numFmtId="9" fontId="52" fillId="0" borderId="0" applyFill="0" applyBorder="0" applyAlignment="0" applyProtection="0"/>
    <xf numFmtId="0" fontId="53" fillId="0" borderId="0"/>
    <xf numFmtId="0" fontId="55" fillId="0" borderId="0"/>
  </cellStyleXfs>
  <cellXfs count="702">
    <xf numFmtId="0" fontId="0" fillId="0" borderId="0" xfId="0"/>
    <xf numFmtId="0" fontId="3" fillId="0" borderId="0" xfId="0" applyFont="1"/>
    <xf numFmtId="0" fontId="5" fillId="0" borderId="0" xfId="0" applyFont="1" applyAlignment="1"/>
    <xf numFmtId="0" fontId="3" fillId="0" borderId="0" xfId="0" applyFont="1" applyAlignment="1"/>
    <xf numFmtId="164" fontId="3" fillId="0" borderId="0" xfId="0" applyNumberFormat="1" applyFont="1" applyAlignment="1">
      <alignment horizontal="center"/>
    </xf>
    <xf numFmtId="14" fontId="6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164" fontId="6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2" fontId="6" fillId="0" borderId="0" xfId="0" applyNumberFormat="1" applyFont="1" applyAlignment="1">
      <alignment horizontal="center"/>
    </xf>
    <xf numFmtId="9" fontId="8" fillId="0" borderId="0" xfId="0" applyNumberFormat="1" applyFont="1" applyAlignment="1">
      <alignment horizontal="center"/>
    </xf>
    <xf numFmtId="2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14" fillId="0" borderId="4" xfId="0" applyFont="1" applyFill="1" applyBorder="1" applyAlignment="1">
      <alignment horizontal="left" vertical="center" wrapText="1"/>
    </xf>
    <xf numFmtId="2" fontId="3" fillId="0" borderId="4" xfId="0" applyNumberFormat="1" applyFont="1" applyBorder="1" applyAlignment="1">
      <alignment horizontal="center"/>
    </xf>
    <xf numFmtId="2" fontId="3" fillId="0" borderId="4" xfId="0" applyNumberFormat="1" applyFont="1" applyBorder="1"/>
    <xf numFmtId="165" fontId="3" fillId="0" borderId="4" xfId="0" applyNumberFormat="1" applyFont="1" applyBorder="1"/>
    <xf numFmtId="0" fontId="3" fillId="0" borderId="1" xfId="0" applyFont="1" applyFill="1" applyBorder="1" applyAlignment="1">
      <alignment vertical="center"/>
    </xf>
    <xf numFmtId="0" fontId="3" fillId="0" borderId="4" xfId="0" applyFont="1" applyBorder="1" applyAlignment="1">
      <alignment horizontal="center"/>
    </xf>
    <xf numFmtId="165" fontId="3" fillId="0" borderId="4" xfId="0" applyNumberFormat="1" applyFont="1" applyBorder="1" applyAlignment="1">
      <alignment horizontal="center"/>
    </xf>
    <xf numFmtId="0" fontId="9" fillId="0" borderId="2" xfId="0" applyFont="1" applyBorder="1" applyAlignment="1"/>
    <xf numFmtId="0" fontId="3" fillId="0" borderId="1" xfId="0" applyFont="1" applyBorder="1" applyAlignment="1">
      <alignment wrapText="1"/>
    </xf>
    <xf numFmtId="0" fontId="0" fillId="0" borderId="4" xfId="0" applyBorder="1"/>
    <xf numFmtId="0" fontId="3" fillId="0" borderId="4" xfId="0" applyFont="1" applyFill="1" applyBorder="1" applyAlignment="1">
      <alignment vertical="center"/>
    </xf>
    <xf numFmtId="0" fontId="0" fillId="0" borderId="4" xfId="0" applyBorder="1" applyAlignment="1">
      <alignment horizontal="center" vertical="center"/>
    </xf>
    <xf numFmtId="0" fontId="15" fillId="0" borderId="4" xfId="0" applyFont="1" applyBorder="1"/>
    <xf numFmtId="165" fontId="0" fillId="0" borderId="4" xfId="0" applyNumberFormat="1" applyBorder="1" applyAlignment="1">
      <alignment horizontal="center" vertical="center"/>
    </xf>
    <xf numFmtId="0" fontId="2" fillId="4" borderId="14" xfId="0" applyFont="1" applyFill="1" applyBorder="1" applyAlignment="1">
      <alignment horizontal="center" vertical="center" wrapText="1"/>
    </xf>
    <xf numFmtId="0" fontId="15" fillId="0" borderId="14" xfId="0" applyFont="1" applyBorder="1"/>
    <xf numFmtId="10" fontId="0" fillId="0" borderId="14" xfId="0" applyNumberFormat="1" applyBorder="1" applyAlignment="1">
      <alignment horizontal="center"/>
    </xf>
    <xf numFmtId="165" fontId="0" fillId="0" borderId="14" xfId="0" applyNumberFormat="1" applyBorder="1" applyAlignment="1">
      <alignment horizontal="center"/>
    </xf>
    <xf numFmtId="165" fontId="0" fillId="0" borderId="14" xfId="1" applyNumberFormat="1" applyFont="1" applyBorder="1" applyAlignment="1">
      <alignment horizontal="center"/>
    </xf>
    <xf numFmtId="9" fontId="0" fillId="0" borderId="14" xfId="1" applyFont="1" applyBorder="1" applyAlignment="1">
      <alignment horizontal="center"/>
    </xf>
    <xf numFmtId="165" fontId="0" fillId="0" borderId="15" xfId="1" applyNumberFormat="1" applyFont="1" applyBorder="1" applyAlignment="1">
      <alignment horizontal="center"/>
    </xf>
    <xf numFmtId="165" fontId="0" fillId="0" borderId="0" xfId="0" applyNumberFormat="1"/>
    <xf numFmtId="9" fontId="0" fillId="0" borderId="0" xfId="0" applyNumberFormat="1"/>
    <xf numFmtId="0" fontId="15" fillId="5" borderId="14" xfId="0" applyFont="1" applyFill="1" applyBorder="1"/>
    <xf numFmtId="10" fontId="0" fillId="5" borderId="14" xfId="0" applyNumberFormat="1" applyFill="1" applyBorder="1" applyAlignment="1">
      <alignment horizontal="center"/>
    </xf>
    <xf numFmtId="165" fontId="0" fillId="5" borderId="14" xfId="0" applyNumberFormat="1" applyFill="1" applyBorder="1" applyAlignment="1">
      <alignment horizontal="center"/>
    </xf>
    <xf numFmtId="165" fontId="0" fillId="5" borderId="14" xfId="1" applyNumberFormat="1" applyFont="1" applyFill="1" applyBorder="1" applyAlignment="1">
      <alignment horizontal="center"/>
    </xf>
    <xf numFmtId="9" fontId="0" fillId="5" borderId="14" xfId="1" applyFont="1" applyFill="1" applyBorder="1" applyAlignment="1">
      <alignment horizontal="center"/>
    </xf>
    <xf numFmtId="165" fontId="0" fillId="5" borderId="15" xfId="1" applyNumberFormat="1" applyFont="1" applyFill="1" applyBorder="1" applyAlignment="1">
      <alignment horizontal="center"/>
    </xf>
    <xf numFmtId="0" fontId="3" fillId="0" borderId="14" xfId="0" applyFont="1" applyFill="1" applyBorder="1" applyAlignment="1">
      <alignment vertical="center"/>
    </xf>
    <xf numFmtId="165" fontId="0" fillId="0" borderId="13" xfId="0" applyNumberFormat="1" applyBorder="1" applyAlignment="1">
      <alignment horizontal="center"/>
    </xf>
    <xf numFmtId="9" fontId="0" fillId="0" borderId="0" xfId="1" applyFont="1"/>
    <xf numFmtId="0" fontId="16" fillId="0" borderId="0" xfId="0" applyFont="1"/>
    <xf numFmtId="0" fontId="16" fillId="0" borderId="15" xfId="0" applyFont="1" applyBorder="1"/>
    <xf numFmtId="165" fontId="16" fillId="0" borderId="16" xfId="0" applyNumberFormat="1" applyFont="1" applyBorder="1" applyAlignment="1">
      <alignment horizontal="center"/>
    </xf>
    <xf numFmtId="165" fontId="16" fillId="0" borderId="17" xfId="0" applyNumberFormat="1" applyFont="1" applyBorder="1" applyAlignment="1">
      <alignment horizontal="center"/>
    </xf>
    <xf numFmtId="0" fontId="16" fillId="5" borderId="15" xfId="0" applyFont="1" applyFill="1" applyBorder="1"/>
    <xf numFmtId="165" fontId="16" fillId="5" borderId="16" xfId="0" applyNumberFormat="1" applyFont="1" applyFill="1" applyBorder="1" applyAlignment="1">
      <alignment horizontal="center"/>
    </xf>
    <xf numFmtId="165" fontId="16" fillId="5" borderId="17" xfId="0" applyNumberFormat="1" applyFont="1" applyFill="1" applyBorder="1" applyAlignment="1">
      <alignment horizontal="center"/>
    </xf>
    <xf numFmtId="0" fontId="18" fillId="0" borderId="15" xfId="0" applyFont="1" applyFill="1" applyBorder="1" applyAlignment="1">
      <alignment vertical="center"/>
    </xf>
    <xf numFmtId="0" fontId="14" fillId="0" borderId="18" xfId="0" applyFont="1" applyFill="1" applyBorder="1" applyAlignment="1">
      <alignment horizontal="left" vertical="center" wrapText="1"/>
    </xf>
    <xf numFmtId="165" fontId="19" fillId="0" borderId="14" xfId="1" applyNumberFormat="1" applyFont="1" applyBorder="1" applyAlignment="1">
      <alignment horizontal="center" vertical="center"/>
    </xf>
    <xf numFmtId="165" fontId="0" fillId="5" borderId="14" xfId="0" applyNumberFormat="1" applyFill="1" applyBorder="1" applyAlignment="1">
      <alignment horizontal="center" vertical="center"/>
    </xf>
    <xf numFmtId="165" fontId="0" fillId="0" borderId="14" xfId="0" applyNumberFormat="1" applyFont="1" applyBorder="1" applyAlignment="1">
      <alignment horizontal="center" vertical="center"/>
    </xf>
    <xf numFmtId="165" fontId="0" fillId="0" borderId="14" xfId="0" applyNumberFormat="1" applyBorder="1" applyAlignment="1">
      <alignment horizontal="center" vertical="center"/>
    </xf>
    <xf numFmtId="165" fontId="15" fillId="0" borderId="16" xfId="1" applyNumberFormat="1" applyFont="1" applyBorder="1" applyAlignment="1">
      <alignment horizontal="center" vertical="center"/>
    </xf>
    <xf numFmtId="165" fontId="15" fillId="8" borderId="14" xfId="1" applyNumberFormat="1" applyFont="1" applyFill="1" applyBorder="1" applyAlignment="1">
      <alignment horizontal="center" vertical="center"/>
    </xf>
    <xf numFmtId="165" fontId="15" fillId="0" borderId="14" xfId="1" applyNumberFormat="1" applyFont="1" applyBorder="1" applyAlignment="1">
      <alignment horizontal="center" vertical="center"/>
    </xf>
    <xf numFmtId="0" fontId="13" fillId="7" borderId="21" xfId="0" applyFont="1" applyFill="1" applyBorder="1" applyAlignment="1">
      <alignment horizontal="center" vertical="center" wrapText="1"/>
    </xf>
    <xf numFmtId="165" fontId="15" fillId="0" borderId="14" xfId="0" applyNumberFormat="1" applyFont="1" applyBorder="1" applyAlignment="1">
      <alignment horizontal="center" vertical="center"/>
    </xf>
    <xf numFmtId="165" fontId="19" fillId="0" borderId="14" xfId="0" applyNumberFormat="1" applyFont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wrapText="1"/>
    </xf>
    <xf numFmtId="0" fontId="19" fillId="0" borderId="0" xfId="0" applyFont="1" applyFill="1" applyBorder="1" applyAlignment="1">
      <alignment horizontal="left" wrapText="1"/>
    </xf>
    <xf numFmtId="0" fontId="21" fillId="0" borderId="0" xfId="0" applyFont="1" applyFill="1" applyBorder="1" applyAlignment="1">
      <alignment horizontal="center"/>
    </xf>
    <xf numFmtId="0" fontId="15" fillId="0" borderId="0" xfId="0" applyFont="1" applyFill="1" applyBorder="1" applyAlignment="1">
      <alignment horizontal="left" wrapText="1"/>
    </xf>
    <xf numFmtId="10" fontId="22" fillId="0" borderId="0" xfId="0" applyNumberFormat="1" applyFont="1" applyFill="1" applyBorder="1" applyAlignment="1">
      <alignment horizontal="center"/>
    </xf>
    <xf numFmtId="0" fontId="23" fillId="0" borderId="0" xfId="0" applyFont="1" applyFill="1" applyBorder="1" applyAlignment="1">
      <alignment horizontal="left"/>
    </xf>
    <xf numFmtId="10" fontId="21" fillId="0" borderId="0" xfId="0" applyNumberFormat="1" applyFont="1" applyFill="1" applyBorder="1" applyAlignment="1">
      <alignment horizontal="center"/>
    </xf>
    <xf numFmtId="0" fontId="19" fillId="0" borderId="0" xfId="0" applyFont="1" applyFill="1" applyBorder="1" applyAlignment="1">
      <alignment horizontal="left"/>
    </xf>
    <xf numFmtId="0" fontId="15" fillId="0" borderId="0" xfId="0" applyFont="1" applyFill="1" applyBorder="1" applyAlignment="1">
      <alignment horizontal="center"/>
    </xf>
    <xf numFmtId="0" fontId="0" fillId="0" borderId="0" xfId="0" applyFill="1" applyBorder="1"/>
    <xf numFmtId="0" fontId="19" fillId="0" borderId="0" xfId="0" applyFont="1" applyFill="1" applyBorder="1" applyAlignment="1">
      <alignment wrapText="1"/>
    </xf>
    <xf numFmtId="0" fontId="15" fillId="8" borderId="19" xfId="0" applyFont="1" applyFill="1" applyBorder="1" applyAlignment="1">
      <alignment vertical="center"/>
    </xf>
    <xf numFmtId="0" fontId="15" fillId="0" borderId="19" xfId="0" applyFont="1" applyBorder="1" applyAlignment="1">
      <alignment vertical="center"/>
    </xf>
    <xf numFmtId="165" fontId="0" fillId="0" borderId="16" xfId="0" applyNumberFormat="1" applyFont="1" applyBorder="1" applyAlignment="1">
      <alignment horizontal="center" vertical="center"/>
    </xf>
    <xf numFmtId="9" fontId="16" fillId="0" borderId="29" xfId="1" applyFont="1" applyBorder="1" applyAlignment="1">
      <alignment horizontal="center"/>
    </xf>
    <xf numFmtId="9" fontId="16" fillId="5" borderId="29" xfId="1" applyFont="1" applyFill="1" applyBorder="1" applyAlignment="1">
      <alignment horizontal="center"/>
    </xf>
    <xf numFmtId="165" fontId="16" fillId="0" borderId="30" xfId="1" applyNumberFormat="1" applyFont="1" applyBorder="1" applyAlignment="1">
      <alignment horizontal="center"/>
    </xf>
    <xf numFmtId="165" fontId="16" fillId="5" borderId="30" xfId="1" applyNumberFormat="1" applyFont="1" applyFill="1" applyBorder="1" applyAlignment="1">
      <alignment horizontal="center"/>
    </xf>
    <xf numFmtId="9" fontId="16" fillId="0" borderId="30" xfId="1" applyFont="1" applyBorder="1" applyAlignment="1">
      <alignment horizontal="center"/>
    </xf>
    <xf numFmtId="165" fontId="16" fillId="5" borderId="32" xfId="0" applyNumberFormat="1" applyFont="1" applyFill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0" fillId="4" borderId="14" xfId="0" applyFill="1" applyBorder="1"/>
    <xf numFmtId="0" fontId="13" fillId="7" borderId="14" xfId="0" applyFont="1" applyFill="1" applyBorder="1" applyAlignment="1">
      <alignment horizontal="center" vertical="center" wrapText="1"/>
    </xf>
    <xf numFmtId="0" fontId="2" fillId="4" borderId="14" xfId="0" applyFont="1" applyFill="1" applyBorder="1"/>
    <xf numFmtId="0" fontId="9" fillId="5" borderId="14" xfId="0" applyFont="1" applyFill="1" applyBorder="1" applyAlignment="1"/>
    <xf numFmtId="0" fontId="3" fillId="5" borderId="14" xfId="0" applyFont="1" applyFill="1" applyBorder="1" applyAlignment="1">
      <alignment horizontal="center"/>
    </xf>
    <xf numFmtId="165" fontId="3" fillId="5" borderId="14" xfId="0" applyNumberFormat="1" applyFont="1" applyFill="1" applyBorder="1" applyAlignment="1">
      <alignment horizontal="center" vertical="center"/>
    </xf>
    <xf numFmtId="165" fontId="0" fillId="5" borderId="14" xfId="1" applyNumberFormat="1" applyFont="1" applyFill="1" applyBorder="1" applyAlignment="1">
      <alignment horizontal="center" vertical="center"/>
    </xf>
    <xf numFmtId="165" fontId="3" fillId="0" borderId="0" xfId="0" applyNumberFormat="1" applyFont="1" applyBorder="1"/>
    <xf numFmtId="165" fontId="14" fillId="3" borderId="0" xfId="0" applyNumberFormat="1" applyFont="1" applyFill="1" applyBorder="1" applyAlignment="1">
      <alignment horizontal="center" vertical="center" wrapText="1"/>
    </xf>
    <xf numFmtId="165" fontId="14" fillId="0" borderId="0" xfId="0" applyNumberFormat="1" applyFont="1" applyFill="1" applyBorder="1" applyAlignment="1">
      <alignment horizontal="center" vertical="center" wrapText="1"/>
    </xf>
    <xf numFmtId="165" fontId="3" fillId="0" borderId="0" xfId="0" applyNumberFormat="1" applyFont="1" applyBorder="1" applyAlignment="1">
      <alignment horizontal="center"/>
    </xf>
    <xf numFmtId="0" fontId="0" fillId="4" borderId="15" xfId="0" applyFill="1" applyBorder="1" applyAlignment="1"/>
    <xf numFmtId="0" fontId="0" fillId="4" borderId="15" xfId="0" applyFill="1" applyBorder="1" applyAlignment="1">
      <alignment vertical="center"/>
    </xf>
    <xf numFmtId="0" fontId="2" fillId="4" borderId="15" xfId="0" applyFont="1" applyFill="1" applyBorder="1" applyAlignment="1">
      <alignment vertical="center"/>
    </xf>
    <xf numFmtId="0" fontId="24" fillId="4" borderId="15" xfId="0" applyFont="1" applyFill="1" applyBorder="1" applyAlignment="1">
      <alignment vertical="center"/>
    </xf>
    <xf numFmtId="2" fontId="2" fillId="4" borderId="15" xfId="0" applyNumberFormat="1" applyFont="1" applyFill="1" applyBorder="1" applyAlignment="1">
      <alignment horizontal="center"/>
    </xf>
    <xf numFmtId="2" fontId="2" fillId="4" borderId="15" xfId="0" applyNumberFormat="1" applyFont="1" applyFill="1" applyBorder="1" applyAlignment="1">
      <alignment horizontal="center" vertical="center"/>
    </xf>
    <xf numFmtId="165" fontId="0" fillId="0" borderId="14" xfId="0" applyNumberForma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/>
    </xf>
    <xf numFmtId="165" fontId="3" fillId="0" borderId="14" xfId="0" applyNumberFormat="1" applyFont="1" applyFill="1" applyBorder="1" applyAlignment="1">
      <alignment horizontal="center" vertical="center"/>
    </xf>
    <xf numFmtId="165" fontId="3" fillId="0" borderId="14" xfId="0" applyNumberFormat="1" applyFont="1" applyBorder="1" applyAlignment="1">
      <alignment horizontal="center" vertical="center"/>
    </xf>
    <xf numFmtId="165" fontId="0" fillId="0" borderId="14" xfId="1" applyNumberFormat="1" applyFont="1" applyBorder="1"/>
    <xf numFmtId="165" fontId="0" fillId="5" borderId="14" xfId="1" applyNumberFormat="1" applyFont="1" applyFill="1" applyBorder="1"/>
    <xf numFmtId="0" fontId="19" fillId="4" borderId="14" xfId="0" applyFont="1" applyFill="1" applyBorder="1" applyAlignment="1">
      <alignment horizontal="center" vertical="center" wrapText="1"/>
    </xf>
    <xf numFmtId="9" fontId="15" fillId="0" borderId="14" xfId="1" applyFont="1" applyBorder="1" applyAlignment="1">
      <alignment horizontal="center" vertical="center"/>
    </xf>
    <xf numFmtId="9" fontId="15" fillId="5" borderId="14" xfId="1" applyFont="1" applyFill="1" applyBorder="1" applyAlignment="1">
      <alignment horizontal="center" vertical="center"/>
    </xf>
    <xf numFmtId="165" fontId="15" fillId="5" borderId="14" xfId="0" applyNumberFormat="1" applyFont="1" applyFill="1" applyBorder="1" applyAlignment="1">
      <alignment horizontal="center" vertical="center"/>
    </xf>
    <xf numFmtId="9" fontId="19" fillId="5" borderId="14" xfId="1" applyFont="1" applyFill="1" applyBorder="1" applyAlignment="1">
      <alignment horizontal="center" vertical="center"/>
    </xf>
    <xf numFmtId="0" fontId="17" fillId="4" borderId="0" xfId="0" applyFont="1" applyFill="1" applyBorder="1" applyAlignment="1">
      <alignment horizontal="center" vertical="center" wrapText="1"/>
    </xf>
    <xf numFmtId="0" fontId="17" fillId="4" borderId="43" xfId="0" applyFont="1" applyFill="1" applyBorder="1" applyAlignment="1">
      <alignment horizontal="center" vertical="center" wrapText="1"/>
    </xf>
    <xf numFmtId="0" fontId="17" fillId="4" borderId="44" xfId="0" applyFont="1" applyFill="1" applyBorder="1" applyAlignment="1">
      <alignment horizontal="center" vertical="center" wrapText="1"/>
    </xf>
    <xf numFmtId="0" fontId="17" fillId="6" borderId="44" xfId="0" applyFont="1" applyFill="1" applyBorder="1" applyAlignment="1">
      <alignment horizontal="center" vertical="center"/>
    </xf>
    <xf numFmtId="0" fontId="17" fillId="6" borderId="44" xfId="0" applyFont="1" applyFill="1" applyBorder="1" applyAlignment="1">
      <alignment horizontal="center" vertical="center" wrapText="1"/>
    </xf>
    <xf numFmtId="9" fontId="15" fillId="0" borderId="14" xfId="0" applyNumberFormat="1" applyFont="1" applyBorder="1" applyAlignment="1">
      <alignment horizontal="center" vertical="center"/>
    </xf>
    <xf numFmtId="9" fontId="15" fillId="5" borderId="14" xfId="0" applyNumberFormat="1" applyFont="1" applyFill="1" applyBorder="1" applyAlignment="1">
      <alignment horizontal="center" vertical="center"/>
    </xf>
    <xf numFmtId="165" fontId="15" fillId="0" borderId="19" xfId="0" applyNumberFormat="1" applyFont="1" applyBorder="1" applyAlignment="1">
      <alignment horizontal="center" vertical="center"/>
    </xf>
    <xf numFmtId="165" fontId="15" fillId="5" borderId="19" xfId="0" applyNumberFormat="1" applyFont="1" applyFill="1" applyBorder="1" applyAlignment="1">
      <alignment horizontal="center" vertical="center"/>
    </xf>
    <xf numFmtId="165" fontId="15" fillId="0" borderId="45" xfId="0" applyNumberFormat="1" applyFont="1" applyBorder="1" applyAlignment="1">
      <alignment horizontal="center" vertical="center"/>
    </xf>
    <xf numFmtId="165" fontId="15" fillId="5" borderId="45" xfId="0" applyNumberFormat="1" applyFont="1" applyFill="1" applyBorder="1" applyAlignment="1">
      <alignment horizontal="center" vertical="center"/>
    </xf>
    <xf numFmtId="0" fontId="17" fillId="4" borderId="46" xfId="0" applyFont="1" applyFill="1" applyBorder="1" applyAlignment="1">
      <alignment horizontal="center" vertical="center" wrapText="1"/>
    </xf>
    <xf numFmtId="0" fontId="17" fillId="4" borderId="0" xfId="0" applyFont="1" applyFill="1" applyBorder="1" applyAlignment="1">
      <alignment horizontal="center" vertical="center" wrapText="1"/>
    </xf>
    <xf numFmtId="9" fontId="16" fillId="0" borderId="17" xfId="1" applyFont="1" applyBorder="1" applyAlignment="1">
      <alignment horizontal="center"/>
    </xf>
    <xf numFmtId="9" fontId="16" fillId="5" borderId="15" xfId="1" applyFont="1" applyFill="1" applyBorder="1" applyAlignment="1">
      <alignment horizontal="center"/>
    </xf>
    <xf numFmtId="9" fontId="16" fillId="0" borderId="15" xfId="1" applyFont="1" applyBorder="1" applyAlignment="1">
      <alignment horizontal="center"/>
    </xf>
    <xf numFmtId="0" fontId="2" fillId="4" borderId="0" xfId="0" applyFont="1" applyFill="1" applyBorder="1" applyAlignment="1">
      <alignment horizontal="center" vertical="center" wrapText="1"/>
    </xf>
    <xf numFmtId="43" fontId="2" fillId="0" borderId="0" xfId="340" applyFont="1"/>
    <xf numFmtId="0" fontId="2" fillId="31" borderId="14" xfId="0" applyFont="1" applyFill="1" applyBorder="1" applyAlignment="1">
      <alignment horizontal="center" vertical="center"/>
    </xf>
    <xf numFmtId="0" fontId="13" fillId="3" borderId="47" xfId="0" applyFont="1" applyFill="1" applyBorder="1" applyAlignment="1">
      <alignment horizontal="center" vertical="center" wrapText="1"/>
    </xf>
    <xf numFmtId="0" fontId="13" fillId="3" borderId="48" xfId="0" applyFont="1" applyFill="1" applyBorder="1" applyAlignment="1">
      <alignment horizontal="center" vertical="center" wrapText="1"/>
    </xf>
    <xf numFmtId="165" fontId="0" fillId="5" borderId="14" xfId="0" applyNumberFormat="1" applyFont="1" applyFill="1" applyBorder="1" applyAlignment="1">
      <alignment horizontal="center"/>
    </xf>
    <xf numFmtId="165" fontId="0" fillId="0" borderId="14" xfId="0" applyNumberFormat="1" applyFont="1" applyBorder="1" applyAlignment="1">
      <alignment horizontal="center"/>
    </xf>
    <xf numFmtId="165" fontId="21" fillId="31" borderId="24" xfId="0" applyNumberFormat="1" applyFont="1" applyFill="1" applyBorder="1" applyAlignment="1">
      <alignment horizontal="center" vertical="center"/>
    </xf>
    <xf numFmtId="165" fontId="21" fillId="31" borderId="25" xfId="0" applyNumberFormat="1" applyFont="1" applyFill="1" applyBorder="1" applyAlignment="1">
      <alignment horizontal="center" vertical="center"/>
    </xf>
    <xf numFmtId="0" fontId="14" fillId="8" borderId="19" xfId="0" applyFont="1" applyFill="1" applyBorder="1" applyAlignment="1">
      <alignment horizontal="left" vertical="center" wrapText="1"/>
    </xf>
    <xf numFmtId="165" fontId="0" fillId="8" borderId="14" xfId="0" applyNumberFormat="1" applyFont="1" applyFill="1" applyBorder="1" applyAlignment="1">
      <alignment horizontal="center" vertical="center"/>
    </xf>
    <xf numFmtId="165" fontId="0" fillId="0" borderId="14" xfId="0" applyNumberFormat="1" applyFont="1" applyFill="1" applyBorder="1" applyAlignment="1">
      <alignment horizontal="center" vertical="center"/>
    </xf>
    <xf numFmtId="165" fontId="0" fillId="0" borderId="0" xfId="0" applyNumberFormat="1" applyFill="1"/>
    <xf numFmtId="0" fontId="19" fillId="5" borderId="14" xfId="0" applyFont="1" applyFill="1" applyBorder="1"/>
    <xf numFmtId="0" fontId="19" fillId="5" borderId="14" xfId="0" applyFont="1" applyFill="1" applyBorder="1" applyAlignment="1">
      <alignment horizontal="center" vertical="center"/>
    </xf>
    <xf numFmtId="9" fontId="16" fillId="0" borderId="16" xfId="1" applyFont="1" applyBorder="1" applyAlignment="1">
      <alignment horizontal="center"/>
    </xf>
    <xf numFmtId="9" fontId="16" fillId="5" borderId="14" xfId="1" applyFont="1" applyFill="1" applyBorder="1" applyAlignment="1">
      <alignment horizontal="center"/>
    </xf>
    <xf numFmtId="9" fontId="16" fillId="0" borderId="14" xfId="1" applyFont="1" applyBorder="1" applyAlignment="1">
      <alignment horizontal="center"/>
    </xf>
    <xf numFmtId="0" fontId="2" fillId="4" borderId="14" xfId="0" applyFont="1" applyFill="1" applyBorder="1" applyAlignment="1">
      <alignment horizontal="center" vertical="center"/>
    </xf>
    <xf numFmtId="0" fontId="2" fillId="31" borderId="14" xfId="0" applyFont="1" applyFill="1" applyBorder="1" applyAlignment="1">
      <alignment horizontal="center" vertical="center" wrapText="1"/>
    </xf>
    <xf numFmtId="9" fontId="1" fillId="0" borderId="0" xfId="1" applyFont="1"/>
    <xf numFmtId="9" fontId="2" fillId="0" borderId="0" xfId="1" applyFont="1"/>
    <xf numFmtId="165" fontId="51" fillId="0" borderId="14" xfId="0" applyNumberFormat="1" applyFont="1" applyBorder="1" applyAlignment="1">
      <alignment horizontal="center"/>
    </xf>
    <xf numFmtId="165" fontId="0" fillId="0" borderId="16" xfId="0" applyNumberFormat="1" applyBorder="1" applyAlignment="1">
      <alignment horizontal="center"/>
    </xf>
    <xf numFmtId="165" fontId="0" fillId="0" borderId="16" xfId="1" applyNumberFormat="1" applyFont="1" applyBorder="1" applyAlignment="1">
      <alignment horizontal="center"/>
    </xf>
    <xf numFmtId="165" fontId="0" fillId="0" borderId="17" xfId="1" applyNumberFormat="1" applyFont="1" applyBorder="1" applyAlignment="1">
      <alignment horizontal="center"/>
    </xf>
    <xf numFmtId="9" fontId="0" fillId="0" borderId="16" xfId="1" applyFont="1" applyBorder="1" applyAlignment="1">
      <alignment horizontal="center"/>
    </xf>
    <xf numFmtId="165" fontId="18" fillId="0" borderId="16" xfId="0" applyNumberFormat="1" applyFont="1" applyBorder="1" applyAlignment="1">
      <alignment horizontal="center"/>
    </xf>
    <xf numFmtId="165" fontId="18" fillId="0" borderId="32" xfId="0" applyNumberFormat="1" applyFont="1" applyBorder="1" applyAlignment="1">
      <alignment horizontal="center"/>
    </xf>
    <xf numFmtId="165" fontId="51" fillId="0" borderId="16" xfId="0" applyNumberFormat="1" applyFont="1" applyBorder="1" applyAlignment="1">
      <alignment horizontal="center"/>
    </xf>
    <xf numFmtId="0" fontId="17" fillId="31" borderId="14" xfId="0" applyFont="1" applyFill="1" applyBorder="1" applyAlignment="1">
      <alignment horizontal="center" vertical="center" wrapText="1"/>
    </xf>
    <xf numFmtId="0" fontId="17" fillId="31" borderId="14" xfId="0" applyFont="1" applyFill="1" applyBorder="1" applyAlignment="1">
      <alignment horizontal="center" vertical="center"/>
    </xf>
    <xf numFmtId="165" fontId="51" fillId="5" borderId="14" xfId="0" applyNumberFormat="1" applyFont="1" applyFill="1" applyBorder="1" applyAlignment="1">
      <alignment horizontal="center"/>
    </xf>
    <xf numFmtId="165" fontId="18" fillId="5" borderId="32" xfId="0" applyNumberFormat="1" applyFont="1" applyFill="1" applyBorder="1" applyAlignment="1">
      <alignment horizontal="center"/>
    </xf>
    <xf numFmtId="165" fontId="18" fillId="5" borderId="16" xfId="0" applyNumberFormat="1" applyFont="1" applyFill="1" applyBorder="1" applyAlignment="1">
      <alignment horizontal="center"/>
    </xf>
    <xf numFmtId="0" fontId="9" fillId="5" borderId="0" xfId="0" applyFont="1" applyFill="1" applyBorder="1" applyAlignment="1"/>
    <xf numFmtId="0" fontId="3" fillId="5" borderId="0" xfId="0" applyFont="1" applyFill="1" applyBorder="1" applyAlignment="1">
      <alignment horizontal="center"/>
    </xf>
    <xf numFmtId="165" fontId="3" fillId="5" borderId="0" xfId="0" applyNumberFormat="1" applyFont="1" applyFill="1" applyBorder="1" applyAlignment="1">
      <alignment horizontal="center" vertical="center"/>
    </xf>
    <xf numFmtId="165" fontId="0" fillId="5" borderId="0" xfId="1" applyNumberFormat="1" applyFont="1" applyFill="1" applyBorder="1" applyAlignment="1">
      <alignment horizontal="center" vertical="center"/>
    </xf>
    <xf numFmtId="165" fontId="3" fillId="0" borderId="19" xfId="0" applyNumberFormat="1" applyFont="1" applyBorder="1" applyAlignment="1">
      <alignment horizontal="center" vertical="center"/>
    </xf>
    <xf numFmtId="0" fontId="3" fillId="0" borderId="4" xfId="0" applyNumberFormat="1" applyFont="1" applyBorder="1"/>
    <xf numFmtId="165" fontId="3" fillId="5" borderId="19" xfId="0" applyNumberFormat="1" applyFont="1" applyFill="1" applyBorder="1" applyAlignment="1">
      <alignment horizontal="center" vertical="center"/>
    </xf>
    <xf numFmtId="165" fontId="15" fillId="0" borderId="4" xfId="0" applyNumberFormat="1" applyFont="1" applyBorder="1"/>
    <xf numFmtId="0" fontId="14" fillId="0" borderId="20" xfId="0" applyFont="1" applyFill="1" applyBorder="1" applyAlignment="1">
      <alignment horizontal="left" vertical="center" wrapText="1"/>
    </xf>
    <xf numFmtId="165" fontId="0" fillId="0" borderId="23" xfId="0" applyNumberFormat="1" applyFill="1" applyBorder="1" applyAlignment="1">
      <alignment horizontal="center" vertical="center"/>
    </xf>
    <xf numFmtId="165" fontId="21" fillId="31" borderId="52" xfId="0" applyNumberFormat="1" applyFont="1" applyFill="1" applyBorder="1" applyAlignment="1">
      <alignment horizontal="center" vertical="center"/>
    </xf>
    <xf numFmtId="0" fontId="14" fillId="0" borderId="14" xfId="0" applyFont="1" applyFill="1" applyBorder="1" applyAlignment="1">
      <alignment horizontal="left" vertical="center" wrapText="1"/>
    </xf>
    <xf numFmtId="0" fontId="14" fillId="8" borderId="14" xfId="0" applyFont="1" applyFill="1" applyBorder="1" applyAlignment="1">
      <alignment horizontal="left" vertical="center" wrapText="1"/>
    </xf>
    <xf numFmtId="165" fontId="0" fillId="8" borderId="14" xfId="0" applyNumberFormat="1" applyFill="1" applyBorder="1" applyAlignment="1">
      <alignment horizontal="center" vertical="center"/>
    </xf>
    <xf numFmtId="0" fontId="19" fillId="5" borderId="15" xfId="0" applyFont="1" applyFill="1" applyBorder="1" applyAlignment="1">
      <alignment horizontal="left" vertical="center"/>
    </xf>
    <xf numFmtId="0" fontId="19" fillId="5" borderId="15" xfId="0" applyFont="1" applyFill="1" applyBorder="1" applyAlignment="1">
      <alignment vertical="center"/>
    </xf>
    <xf numFmtId="0" fontId="19" fillId="5" borderId="19" xfId="0" applyFont="1" applyFill="1" applyBorder="1" applyAlignment="1">
      <alignment horizontal="center" vertical="center"/>
    </xf>
    <xf numFmtId="165" fontId="15" fillId="0" borderId="18" xfId="1" applyNumberFormat="1" applyFont="1" applyBorder="1" applyAlignment="1">
      <alignment horizontal="center" vertical="center"/>
    </xf>
    <xf numFmtId="165" fontId="15" fillId="0" borderId="19" xfId="1" applyNumberFormat="1" applyFont="1" applyBorder="1" applyAlignment="1">
      <alignment horizontal="center" vertical="center"/>
    </xf>
    <xf numFmtId="165" fontId="15" fillId="8" borderId="19" xfId="1" applyNumberFormat="1" applyFont="1" applyFill="1" applyBorder="1" applyAlignment="1">
      <alignment horizontal="center" vertical="center"/>
    </xf>
    <xf numFmtId="165" fontId="19" fillId="0" borderId="19" xfId="1" applyNumberFormat="1" applyFont="1" applyBorder="1" applyAlignment="1">
      <alignment horizontal="center" vertical="center"/>
    </xf>
    <xf numFmtId="0" fontId="15" fillId="8" borderId="14" xfId="0" applyFont="1" applyFill="1" applyBorder="1"/>
    <xf numFmtId="165" fontId="15" fillId="8" borderId="18" xfId="1" applyNumberFormat="1" applyFont="1" applyFill="1" applyBorder="1" applyAlignment="1">
      <alignment horizontal="center" vertical="center"/>
    </xf>
    <xf numFmtId="165" fontId="15" fillId="8" borderId="16" xfId="1" applyNumberFormat="1" applyFont="1" applyFill="1" applyBorder="1" applyAlignment="1">
      <alignment horizontal="center" vertical="center"/>
    </xf>
    <xf numFmtId="0" fontId="19" fillId="5" borderId="0" xfId="0" applyFont="1" applyFill="1" applyAlignment="1"/>
    <xf numFmtId="165" fontId="0" fillId="35" borderId="4" xfId="0" applyNumberFormat="1" applyFill="1" applyBorder="1" applyAlignment="1">
      <alignment horizontal="center" vertical="center"/>
    </xf>
    <xf numFmtId="0" fontId="13" fillId="32" borderId="14" xfId="0" applyFont="1" applyFill="1" applyBorder="1" applyAlignment="1">
      <alignment horizontal="center" vertical="center" wrapText="1"/>
    </xf>
    <xf numFmtId="0" fontId="13" fillId="33" borderId="14" xfId="0" applyFont="1" applyFill="1" applyBorder="1" applyAlignment="1">
      <alignment horizontal="center" vertical="center" wrapText="1"/>
    </xf>
    <xf numFmtId="0" fontId="19" fillId="34" borderId="14" xfId="0" applyFont="1" applyFill="1" applyBorder="1" applyAlignment="1">
      <alignment horizontal="center" vertical="center"/>
    </xf>
    <xf numFmtId="0" fontId="19" fillId="34" borderId="14" xfId="0" applyFont="1" applyFill="1" applyBorder="1" applyAlignment="1">
      <alignment horizontal="center" vertical="center" wrapText="1"/>
    </xf>
    <xf numFmtId="0" fontId="9" fillId="31" borderId="14" xfId="0" applyFont="1" applyFill="1" applyBorder="1" applyAlignment="1">
      <alignment horizontal="left" vertical="center"/>
    </xf>
    <xf numFmtId="0" fontId="0" fillId="31" borderId="14" xfId="0" applyFill="1" applyBorder="1"/>
    <xf numFmtId="0" fontId="2" fillId="31" borderId="14" xfId="0" applyFont="1" applyFill="1" applyBorder="1"/>
    <xf numFmtId="0" fontId="14" fillId="5" borderId="14" xfId="0" applyFont="1" applyFill="1" applyBorder="1" applyAlignment="1">
      <alignment horizontal="left" vertical="center" wrapText="1"/>
    </xf>
    <xf numFmtId="0" fontId="14" fillId="0" borderId="14" xfId="0" applyFont="1" applyFill="1" applyBorder="1" applyAlignment="1">
      <alignment horizontal="center" vertical="center" wrapText="1"/>
    </xf>
    <xf numFmtId="0" fontId="14" fillId="5" borderId="14" xfId="0" applyFont="1" applyFill="1" applyBorder="1" applyAlignment="1">
      <alignment horizontal="center" vertical="center" wrapText="1"/>
    </xf>
    <xf numFmtId="0" fontId="13" fillId="32" borderId="20" xfId="0" applyFont="1" applyFill="1" applyBorder="1" applyAlignment="1">
      <alignment horizontal="center" vertical="center" wrapText="1"/>
    </xf>
    <xf numFmtId="0" fontId="14" fillId="0" borderId="19" xfId="0" applyFont="1" applyFill="1" applyBorder="1" applyAlignment="1">
      <alignment horizontal="left" vertical="center" wrapText="1"/>
    </xf>
    <xf numFmtId="0" fontId="25" fillId="32" borderId="53" xfId="0" applyFont="1" applyFill="1" applyBorder="1" applyAlignment="1">
      <alignment horizontal="center" vertical="center" wrapText="1"/>
    </xf>
    <xf numFmtId="0" fontId="25" fillId="32" borderId="54" xfId="0" applyFont="1" applyFill="1" applyBorder="1" applyAlignment="1">
      <alignment horizontal="center" vertical="center" wrapText="1"/>
    </xf>
    <xf numFmtId="0" fontId="2" fillId="31" borderId="54" xfId="0" applyFont="1" applyFill="1" applyBorder="1" applyAlignment="1">
      <alignment horizontal="center" vertical="center"/>
    </xf>
    <xf numFmtId="0" fontId="2" fillId="31" borderId="55" xfId="0" applyFont="1" applyFill="1" applyBorder="1" applyAlignment="1">
      <alignment horizontal="center" vertical="center"/>
    </xf>
    <xf numFmtId="165" fontId="0" fillId="0" borderId="57" xfId="0" applyNumberFormat="1" applyFont="1" applyBorder="1" applyAlignment="1">
      <alignment horizontal="center" vertical="center"/>
    </xf>
    <xf numFmtId="165" fontId="0" fillId="8" borderId="59" xfId="0" applyNumberFormat="1" applyFont="1" applyFill="1" applyBorder="1" applyAlignment="1">
      <alignment horizontal="center" vertical="center"/>
    </xf>
    <xf numFmtId="165" fontId="0" fillId="0" borderId="59" xfId="0" applyNumberFormat="1" applyFont="1" applyBorder="1" applyAlignment="1">
      <alignment horizontal="center" vertical="center"/>
    </xf>
    <xf numFmtId="165" fontId="15" fillId="8" borderId="59" xfId="1" applyNumberFormat="1" applyFont="1" applyFill="1" applyBorder="1" applyAlignment="1">
      <alignment horizontal="center" vertical="center"/>
    </xf>
    <xf numFmtId="165" fontId="15" fillId="0" borderId="59" xfId="1" applyNumberFormat="1" applyFont="1" applyBorder="1" applyAlignment="1">
      <alignment horizontal="center" vertical="center"/>
    </xf>
    <xf numFmtId="165" fontId="0" fillId="0" borderId="59" xfId="0" applyNumberFormat="1" applyFont="1" applyFill="1" applyBorder="1" applyAlignment="1">
      <alignment horizontal="center" vertical="center"/>
    </xf>
    <xf numFmtId="0" fontId="13" fillId="31" borderId="61" xfId="0" applyFont="1" applyFill="1" applyBorder="1" applyAlignment="1">
      <alignment horizontal="center" vertical="center" wrapText="1"/>
    </xf>
    <xf numFmtId="165" fontId="0" fillId="0" borderId="59" xfId="0" applyNumberFormat="1" applyBorder="1" applyAlignment="1">
      <alignment horizontal="center" vertical="center"/>
    </xf>
    <xf numFmtId="165" fontId="21" fillId="31" borderId="63" xfId="0" applyNumberFormat="1" applyFont="1" applyFill="1" applyBorder="1" applyAlignment="1">
      <alignment horizontal="center" vertical="center"/>
    </xf>
    <xf numFmtId="165" fontId="0" fillId="0" borderId="64" xfId="0" applyNumberFormat="1" applyFill="1" applyBorder="1" applyAlignment="1">
      <alignment horizontal="center" vertical="center"/>
    </xf>
    <xf numFmtId="165" fontId="0" fillId="8" borderId="59" xfId="0" applyNumberFormat="1" applyFill="1" applyBorder="1" applyAlignment="1">
      <alignment horizontal="center" vertical="center"/>
    </xf>
    <xf numFmtId="165" fontId="0" fillId="0" borderId="59" xfId="0" applyNumberFormat="1" applyFill="1" applyBorder="1" applyAlignment="1">
      <alignment horizontal="center" vertical="center"/>
    </xf>
    <xf numFmtId="0" fontId="13" fillId="31" borderId="62" xfId="0" applyFont="1" applyFill="1" applyBorder="1" applyAlignment="1">
      <alignment horizontal="center" vertical="center" wrapText="1"/>
    </xf>
    <xf numFmtId="165" fontId="21" fillId="31" borderId="67" xfId="0" applyNumberFormat="1" applyFont="1" applyFill="1" applyBorder="1" applyAlignment="1">
      <alignment horizontal="center" vertical="center"/>
    </xf>
    <xf numFmtId="165" fontId="2" fillId="31" borderId="70" xfId="0" applyNumberFormat="1" applyFont="1" applyFill="1" applyBorder="1" applyAlignment="1">
      <alignment horizontal="center" vertical="center"/>
    </xf>
    <xf numFmtId="165" fontId="2" fillId="31" borderId="71" xfId="0" applyNumberFormat="1" applyFont="1" applyFill="1" applyBorder="1" applyAlignment="1">
      <alignment horizontal="center" vertical="center"/>
    </xf>
    <xf numFmtId="166" fontId="2" fillId="4" borderId="15" xfId="1" applyNumberFormat="1" applyFont="1" applyFill="1" applyBorder="1" applyAlignment="1">
      <alignment horizontal="center"/>
    </xf>
    <xf numFmtId="166" fontId="2" fillId="4" borderId="15" xfId="0" applyNumberFormat="1" applyFont="1" applyFill="1" applyBorder="1" applyAlignment="1">
      <alignment horizontal="center"/>
    </xf>
    <xf numFmtId="166" fontId="2" fillId="4" borderId="15" xfId="1" applyNumberFormat="1" applyFont="1" applyFill="1" applyBorder="1" applyAlignment="1">
      <alignment horizontal="center" vertical="center"/>
    </xf>
    <xf numFmtId="165" fontId="8" fillId="0" borderId="0" xfId="0" applyNumberFormat="1" applyFont="1" applyAlignment="1">
      <alignment horizontal="center"/>
    </xf>
    <xf numFmtId="165" fontId="0" fillId="36" borderId="0" xfId="1" applyNumberFormat="1" applyFont="1" applyFill="1"/>
    <xf numFmtId="165" fontId="3" fillId="36" borderId="19" xfId="0" applyNumberFormat="1" applyFont="1" applyFill="1" applyBorder="1" applyAlignment="1">
      <alignment horizontal="center" vertical="center"/>
    </xf>
    <xf numFmtId="165" fontId="3" fillId="0" borderId="0" xfId="1" applyNumberFormat="1" applyFont="1" applyAlignment="1">
      <alignment horizontal="center"/>
    </xf>
    <xf numFmtId="9" fontId="3" fillId="0" borderId="5" xfId="1" applyFont="1" applyBorder="1" applyAlignment="1">
      <alignment horizontal="center" vertical="center"/>
    </xf>
    <xf numFmtId="166" fontId="8" fillId="0" borderId="0" xfId="0" applyNumberFormat="1" applyFont="1" applyAlignment="1">
      <alignment horizontal="center"/>
    </xf>
    <xf numFmtId="10" fontId="8" fillId="0" borderId="0" xfId="0" applyNumberFormat="1" applyFont="1" applyAlignment="1">
      <alignment horizontal="center"/>
    </xf>
    <xf numFmtId="10" fontId="3" fillId="0" borderId="4" xfId="0" applyNumberFormat="1" applyFont="1" applyBorder="1"/>
    <xf numFmtId="0" fontId="0" fillId="0" borderId="0" xfId="0" applyAlignment="1">
      <alignment horizontal="center"/>
    </xf>
    <xf numFmtId="165" fontId="0" fillId="35" borderId="0" xfId="0" applyNumberFormat="1" applyFill="1"/>
    <xf numFmtId="165" fontId="0" fillId="4" borderId="0" xfId="0" applyNumberFormat="1" applyFill="1"/>
    <xf numFmtId="10" fontId="3" fillId="5" borderId="14" xfId="0" applyNumberFormat="1" applyFont="1" applyFill="1" applyBorder="1" applyAlignment="1">
      <alignment horizontal="center" vertical="center"/>
    </xf>
    <xf numFmtId="165" fontId="55" fillId="0" borderId="4" xfId="1" applyNumberFormat="1" applyFont="1" applyBorder="1"/>
    <xf numFmtId="9" fontId="55" fillId="0" borderId="4" xfId="1" applyFont="1" applyBorder="1"/>
    <xf numFmtId="0" fontId="14" fillId="0" borderId="7" xfId="0" applyFont="1" applyFill="1" applyBorder="1" applyAlignment="1">
      <alignment horizontal="center" vertical="center" wrapText="1"/>
    </xf>
    <xf numFmtId="165" fontId="14" fillId="0" borderId="4" xfId="0" applyNumberFormat="1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center" vertical="center" wrapText="1"/>
    </xf>
    <xf numFmtId="165" fontId="14" fillId="0" borderId="3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9" fontId="3" fillId="0" borderId="4" xfId="0" applyNumberFormat="1" applyFont="1" applyBorder="1"/>
    <xf numFmtId="165" fontId="54" fillId="5" borderId="14" xfId="0" applyNumberFormat="1" applyFont="1" applyFill="1" applyBorder="1" applyAlignment="1">
      <alignment horizontal="center"/>
    </xf>
    <xf numFmtId="165" fontId="0" fillId="5" borderId="4" xfId="0" applyNumberFormat="1" applyFill="1" applyBorder="1" applyAlignment="1">
      <alignment horizontal="center" vertical="center"/>
    </xf>
    <xf numFmtId="165" fontId="56" fillId="0" borderId="16" xfId="0" applyNumberFormat="1" applyFont="1" applyBorder="1" applyAlignment="1">
      <alignment horizontal="center"/>
    </xf>
    <xf numFmtId="165" fontId="56" fillId="5" borderId="16" xfId="0" applyNumberFormat="1" applyFont="1" applyFill="1" applyBorder="1" applyAlignment="1">
      <alignment horizontal="center"/>
    </xf>
    <xf numFmtId="165" fontId="56" fillId="5" borderId="32" xfId="0" applyNumberFormat="1" applyFont="1" applyFill="1" applyBorder="1" applyAlignment="1">
      <alignment horizontal="center"/>
    </xf>
    <xf numFmtId="0" fontId="19" fillId="5" borderId="4" xfId="0" applyFont="1" applyFill="1" applyBorder="1" applyAlignment="1">
      <alignment horizontal="center" vertical="center"/>
    </xf>
    <xf numFmtId="165" fontId="0" fillId="0" borderId="4" xfId="0" applyNumberFormat="1" applyBorder="1"/>
    <xf numFmtId="0" fontId="14" fillId="0" borderId="7" xfId="0" applyFont="1" applyFill="1" applyBorder="1" applyAlignment="1">
      <alignment horizontal="center" vertical="center" wrapText="1"/>
    </xf>
    <xf numFmtId="0" fontId="14" fillId="0" borderId="49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0" fillId="0" borderId="0" xfId="0" applyAlignment="1">
      <alignment vertical="center"/>
    </xf>
    <xf numFmtId="0" fontId="60" fillId="6" borderId="72" xfId="0" applyFont="1" applyFill="1" applyBorder="1" applyAlignment="1">
      <alignment horizontal="center" vertical="center" wrapText="1"/>
    </xf>
    <xf numFmtId="0" fontId="60" fillId="6" borderId="73" xfId="0" applyFont="1" applyFill="1" applyBorder="1" applyAlignment="1">
      <alignment horizontal="center" vertical="center" wrapText="1"/>
    </xf>
    <xf numFmtId="0" fontId="60" fillId="6" borderId="74" xfId="0" applyFont="1" applyFill="1" applyBorder="1" applyAlignment="1">
      <alignment horizontal="center" vertical="center" wrapText="1"/>
    </xf>
    <xf numFmtId="0" fontId="8" fillId="6" borderId="74" xfId="0" applyFont="1" applyFill="1" applyBorder="1" applyAlignment="1">
      <alignment horizontal="center" vertical="center" wrapText="1"/>
    </xf>
    <xf numFmtId="0" fontId="8" fillId="6" borderId="0" xfId="0" applyFont="1" applyFill="1" applyBorder="1" applyAlignment="1">
      <alignment horizontal="center" vertical="center" wrapText="1"/>
    </xf>
    <xf numFmtId="0" fontId="60" fillId="6" borderId="75" xfId="0" applyFont="1" applyFill="1" applyBorder="1" applyAlignment="1">
      <alignment horizontal="center" vertical="center" wrapText="1"/>
    </xf>
    <xf numFmtId="0" fontId="8" fillId="6" borderId="75" xfId="0" applyFont="1" applyFill="1" applyBorder="1" applyAlignment="1">
      <alignment horizontal="center" vertical="center" wrapText="1"/>
    </xf>
    <xf numFmtId="0" fontId="15" fillId="37" borderId="4" xfId="0" applyFont="1" applyFill="1" applyBorder="1" applyAlignment="1">
      <alignment horizontal="justify" vertical="top" wrapText="1"/>
    </xf>
    <xf numFmtId="0" fontId="15" fillId="37" borderId="77" xfId="0" applyFont="1" applyFill="1" applyBorder="1" applyAlignment="1">
      <alignment horizontal="center" vertical="top" wrapText="1"/>
    </xf>
    <xf numFmtId="0" fontId="15" fillId="37" borderId="77" xfId="0" applyFont="1" applyFill="1" applyBorder="1" applyAlignment="1">
      <alignment horizontal="center" wrapText="1"/>
    </xf>
    <xf numFmtId="0" fontId="3" fillId="37" borderId="4" xfId="0" applyFont="1" applyFill="1" applyBorder="1" applyAlignment="1">
      <alignment horizontal="center" vertical="top" wrapText="1"/>
    </xf>
    <xf numFmtId="0" fontId="3" fillId="37" borderId="5" xfId="0" applyFont="1" applyFill="1" applyBorder="1" applyAlignment="1">
      <alignment horizontal="center" vertical="top" wrapText="1"/>
    </xf>
    <xf numFmtId="0" fontId="0" fillId="37" borderId="77" xfId="0" applyFill="1" applyBorder="1" applyAlignment="1">
      <alignment horizontal="center"/>
    </xf>
    <xf numFmtId="165" fontId="15" fillId="37" borderId="78" xfId="1" applyNumberFormat="1" applyFont="1" applyFill="1" applyBorder="1" applyAlignment="1">
      <alignment horizontal="center" wrapText="1"/>
    </xf>
    <xf numFmtId="165" fontId="0" fillId="0" borderId="0" xfId="1" applyNumberFormat="1" applyFont="1"/>
    <xf numFmtId="0" fontId="15" fillId="37" borderId="4" xfId="0" applyFont="1" applyFill="1" applyBorder="1" applyAlignment="1">
      <alignment horizontal="center" vertical="top" wrapText="1"/>
    </xf>
    <xf numFmtId="0" fontId="15" fillId="37" borderId="4" xfId="0" applyFont="1" applyFill="1" applyBorder="1" applyAlignment="1">
      <alignment horizontal="center" wrapText="1"/>
    </xf>
    <xf numFmtId="0" fontId="0" fillId="37" borderId="4" xfId="0" applyFill="1" applyBorder="1" applyAlignment="1">
      <alignment horizontal="center"/>
    </xf>
    <xf numFmtId="167" fontId="3" fillId="37" borderId="4" xfId="0" applyNumberFormat="1" applyFont="1" applyFill="1" applyBorder="1" applyAlignment="1">
      <alignment horizontal="center" vertical="top" wrapText="1"/>
    </xf>
    <xf numFmtId="165" fontId="15" fillId="37" borderId="80" xfId="1" applyNumberFormat="1" applyFont="1" applyFill="1" applyBorder="1" applyAlignment="1">
      <alignment horizontal="center" wrapText="1"/>
    </xf>
    <xf numFmtId="0" fontId="58" fillId="0" borderId="0" xfId="0" applyFont="1"/>
    <xf numFmtId="0" fontId="3" fillId="37" borderId="3" xfId="0" applyFont="1" applyFill="1" applyBorder="1" applyAlignment="1">
      <alignment horizontal="center" vertical="top" wrapText="1"/>
    </xf>
    <xf numFmtId="0" fontId="15" fillId="5" borderId="77" xfId="0" applyFont="1" applyFill="1" applyBorder="1" applyAlignment="1">
      <alignment horizontal="justify" vertical="top" wrapText="1"/>
    </xf>
    <xf numFmtId="0" fontId="15" fillId="5" borderId="77" xfId="0" applyFont="1" applyFill="1" applyBorder="1" applyAlignment="1">
      <alignment horizontal="center" vertical="top" wrapText="1"/>
    </xf>
    <xf numFmtId="0" fontId="15" fillId="5" borderId="77" xfId="0" applyFont="1" applyFill="1" applyBorder="1" applyAlignment="1">
      <alignment horizontal="center" wrapText="1"/>
    </xf>
    <xf numFmtId="0" fontId="0" fillId="5" borderId="77" xfId="0" applyFill="1" applyBorder="1" applyAlignment="1">
      <alignment horizontal="center"/>
    </xf>
    <xf numFmtId="0" fontId="15" fillId="5" borderId="4" xfId="0" applyFont="1" applyFill="1" applyBorder="1" applyAlignment="1">
      <alignment horizontal="center" vertical="top" wrapText="1"/>
    </xf>
    <xf numFmtId="165" fontId="15" fillId="5" borderId="78" xfId="1" applyNumberFormat="1" applyFont="1" applyFill="1" applyBorder="1" applyAlignment="1">
      <alignment horizontal="center" wrapText="1"/>
    </xf>
    <xf numFmtId="0" fontId="15" fillId="5" borderId="4" xfId="0" applyFont="1" applyFill="1" applyBorder="1" applyAlignment="1">
      <alignment horizontal="justify" vertical="top" wrapText="1"/>
    </xf>
    <xf numFmtId="0" fontId="15" fillId="5" borderId="4" xfId="0" applyFont="1" applyFill="1" applyBorder="1" applyAlignment="1">
      <alignment horizontal="center" wrapText="1"/>
    </xf>
    <xf numFmtId="0" fontId="0" fillId="5" borderId="4" xfId="0" applyFill="1" applyBorder="1" applyAlignment="1">
      <alignment horizontal="center"/>
    </xf>
    <xf numFmtId="165" fontId="15" fillId="5" borderId="80" xfId="1" applyNumberFormat="1" applyFont="1" applyFill="1" applyBorder="1" applyAlignment="1">
      <alignment horizontal="center" wrapText="1"/>
    </xf>
    <xf numFmtId="0" fontId="15" fillId="38" borderId="4" xfId="0" applyFont="1" applyFill="1" applyBorder="1" applyAlignment="1">
      <alignment horizontal="center" vertical="top" wrapText="1"/>
    </xf>
    <xf numFmtId="0" fontId="15" fillId="5" borderId="3" xfId="0" applyFont="1" applyFill="1" applyBorder="1" applyAlignment="1">
      <alignment horizontal="justify" vertical="top" wrapText="1"/>
    </xf>
    <xf numFmtId="0" fontId="15" fillId="5" borderId="3" xfId="0" applyFont="1" applyFill="1" applyBorder="1" applyAlignment="1">
      <alignment horizontal="center" vertical="top" wrapText="1"/>
    </xf>
    <xf numFmtId="0" fontId="15" fillId="5" borderId="3" xfId="0" applyFont="1" applyFill="1" applyBorder="1" applyAlignment="1">
      <alignment horizontal="center" wrapText="1"/>
    </xf>
    <xf numFmtId="0" fontId="0" fillId="5" borderId="3" xfId="0" applyFill="1" applyBorder="1" applyAlignment="1">
      <alignment horizontal="center"/>
    </xf>
    <xf numFmtId="165" fontId="15" fillId="5" borderId="82" xfId="1" applyNumberFormat="1" applyFont="1" applyFill="1" applyBorder="1" applyAlignment="1">
      <alignment horizontal="center" wrapText="1"/>
    </xf>
    <xf numFmtId="0" fontId="15" fillId="38" borderId="77" xfId="0" applyFont="1" applyFill="1" applyBorder="1" applyAlignment="1">
      <alignment horizontal="justify" vertical="top" wrapText="1"/>
    </xf>
    <xf numFmtId="0" fontId="15" fillId="38" borderId="77" xfId="0" applyFont="1" applyFill="1" applyBorder="1" applyAlignment="1">
      <alignment horizontal="center" vertical="top" wrapText="1"/>
    </xf>
    <xf numFmtId="0" fontId="15" fillId="38" borderId="77" xfId="0" applyFont="1" applyFill="1" applyBorder="1" applyAlignment="1">
      <alignment horizontal="center" wrapText="1"/>
    </xf>
    <xf numFmtId="0" fontId="0" fillId="38" borderId="77" xfId="0" applyFill="1" applyBorder="1" applyAlignment="1">
      <alignment horizontal="center"/>
    </xf>
    <xf numFmtId="165" fontId="15" fillId="38" borderId="78" xfId="1" applyNumberFormat="1" applyFont="1" applyFill="1" applyBorder="1" applyAlignment="1">
      <alignment horizontal="center" wrapText="1"/>
    </xf>
    <xf numFmtId="166" fontId="0" fillId="0" borderId="0" xfId="1" applyNumberFormat="1" applyFont="1"/>
    <xf numFmtId="0" fontId="58" fillId="0" borderId="0" xfId="0" applyFont="1" applyAlignment="1">
      <alignment horizontal="center" wrapText="1"/>
    </xf>
    <xf numFmtId="0" fontId="15" fillId="38" borderId="4" xfId="0" applyFont="1" applyFill="1" applyBorder="1" applyAlignment="1">
      <alignment horizontal="justify" vertical="top" wrapText="1"/>
    </xf>
    <xf numFmtId="0" fontId="15" fillId="38" borderId="4" xfId="0" applyFont="1" applyFill="1" applyBorder="1" applyAlignment="1">
      <alignment horizontal="center" wrapText="1"/>
    </xf>
    <xf numFmtId="0" fontId="0" fillId="38" borderId="4" xfId="0" applyFill="1" applyBorder="1" applyAlignment="1">
      <alignment horizontal="center"/>
    </xf>
    <xf numFmtId="165" fontId="15" fillId="38" borderId="80" xfId="1" applyNumberFormat="1" applyFont="1" applyFill="1" applyBorder="1" applyAlignment="1">
      <alignment horizontal="center" wrapText="1"/>
    </xf>
    <xf numFmtId="0" fontId="15" fillId="39" borderId="4" xfId="0" applyFont="1" applyFill="1" applyBorder="1" applyAlignment="1">
      <alignment horizontal="center" vertical="top" wrapText="1"/>
    </xf>
    <xf numFmtId="0" fontId="15" fillId="39" borderId="4" xfId="0" applyFont="1" applyFill="1" applyBorder="1" applyAlignment="1">
      <alignment horizontal="justify" vertical="top" wrapText="1"/>
    </xf>
    <xf numFmtId="0" fontId="15" fillId="39" borderId="4" xfId="0" applyFont="1" applyFill="1" applyBorder="1" applyAlignment="1">
      <alignment horizontal="center" wrapText="1"/>
    </xf>
    <xf numFmtId="0" fontId="0" fillId="39" borderId="4" xfId="0" applyFill="1" applyBorder="1" applyAlignment="1">
      <alignment horizontal="center"/>
    </xf>
    <xf numFmtId="165" fontId="15" fillId="39" borderId="4" xfId="1" applyNumberFormat="1" applyFont="1" applyFill="1" applyBorder="1" applyAlignment="1">
      <alignment horizontal="center" wrapText="1"/>
    </xf>
    <xf numFmtId="0" fontId="19" fillId="0" borderId="0" xfId="0" applyFont="1" applyAlignment="1">
      <alignment vertical="center" wrapText="1"/>
    </xf>
    <xf numFmtId="0" fontId="19" fillId="5" borderId="14" xfId="0" applyFont="1" applyFill="1" applyBorder="1" applyAlignment="1">
      <alignment horizontal="center" vertical="center" wrapText="1"/>
    </xf>
    <xf numFmtId="0" fontId="19" fillId="36" borderId="0" xfId="0" applyFont="1" applyFill="1" applyAlignment="1">
      <alignment vertical="center" wrapText="1"/>
    </xf>
    <xf numFmtId="168" fontId="15" fillId="0" borderId="14" xfId="340" applyNumberFormat="1" applyFont="1" applyBorder="1" applyAlignment="1">
      <alignment horizontal="center"/>
    </xf>
    <xf numFmtId="165" fontId="15" fillId="0" borderId="14" xfId="1" applyNumberFormat="1" applyFont="1" applyBorder="1" applyAlignment="1">
      <alignment horizontal="center"/>
    </xf>
    <xf numFmtId="0" fontId="15" fillId="36" borderId="0" xfId="0" applyFont="1" applyFill="1"/>
    <xf numFmtId="0" fontId="15" fillId="0" borderId="0" xfId="0" applyFont="1"/>
    <xf numFmtId="168" fontId="15" fillId="8" borderId="14" xfId="340" applyNumberFormat="1" applyFont="1" applyFill="1" applyBorder="1" applyAlignment="1">
      <alignment horizontal="center"/>
    </xf>
    <xf numFmtId="165" fontId="15" fillId="8" borderId="14" xfId="1" applyNumberFormat="1" applyFont="1" applyFill="1" applyBorder="1" applyAlignment="1">
      <alignment horizontal="center"/>
    </xf>
    <xf numFmtId="0" fontId="2" fillId="5" borderId="14" xfId="0" applyFont="1" applyFill="1" applyBorder="1" applyAlignment="1">
      <alignment vertical="center"/>
    </xf>
    <xf numFmtId="0" fontId="2" fillId="5" borderId="14" xfId="0" applyFont="1" applyFill="1" applyBorder="1"/>
    <xf numFmtId="168" fontId="2" fillId="5" borderId="14" xfId="0" applyNumberFormat="1" applyFont="1" applyFill="1" applyBorder="1" applyAlignment="1">
      <alignment horizontal="center"/>
    </xf>
    <xf numFmtId="165" fontId="19" fillId="5" borderId="14" xfId="1" applyNumberFormat="1" applyFont="1" applyFill="1" applyBorder="1" applyAlignment="1">
      <alignment horizontal="center"/>
    </xf>
    <xf numFmtId="0" fontId="61" fillId="40" borderId="14" xfId="0" applyFont="1" applyFill="1" applyBorder="1" applyAlignment="1">
      <alignment horizontal="left" vertical="top"/>
    </xf>
    <xf numFmtId="0" fontId="19" fillId="40" borderId="14" xfId="0" applyFont="1" applyFill="1" applyBorder="1" applyAlignment="1">
      <alignment horizontal="center" vertical="center" wrapText="1"/>
    </xf>
    <xf numFmtId="0" fontId="0" fillId="0" borderId="14" xfId="0" applyBorder="1" applyAlignment="1">
      <alignment vertical="center"/>
    </xf>
    <xf numFmtId="0" fontId="0" fillId="0" borderId="14" xfId="0" applyBorder="1"/>
    <xf numFmtId="169" fontId="0" fillId="0" borderId="14" xfId="0" applyNumberFormat="1" applyBorder="1" applyAlignment="1">
      <alignment horizontal="center" vertical="center"/>
    </xf>
    <xf numFmtId="165" fontId="0" fillId="0" borderId="14" xfId="1" applyNumberFormat="1" applyFont="1" applyBorder="1" applyAlignment="1">
      <alignment horizontal="center" vertical="center"/>
    </xf>
    <xf numFmtId="165" fontId="15" fillId="0" borderId="14" xfId="1" applyNumberFormat="1" applyFont="1" applyFill="1" applyBorder="1" applyAlignment="1">
      <alignment horizontal="center" vertical="center"/>
    </xf>
    <xf numFmtId="165" fontId="19" fillId="5" borderId="14" xfId="1" applyNumberFormat="1" applyFont="1" applyFill="1" applyBorder="1"/>
    <xf numFmtId="169" fontId="0" fillId="0" borderId="0" xfId="0" applyNumberFormat="1"/>
    <xf numFmtId="0" fontId="51" fillId="0" borderId="0" xfId="1286" applyFont="1" applyAlignment="1">
      <alignment horizontal="center" vertical="center" wrapText="1"/>
    </xf>
    <xf numFmtId="0" fontId="51" fillId="0" borderId="0" xfId="1286" applyFont="1"/>
    <xf numFmtId="0" fontId="59" fillId="0" borderId="0" xfId="1286" applyFont="1"/>
    <xf numFmtId="0" fontId="57" fillId="0" borderId="0" xfId="1286" applyFont="1" applyAlignment="1">
      <alignment horizontal="center" vertical="center"/>
    </xf>
    <xf numFmtId="0" fontId="24" fillId="0" borderId="0" xfId="1286" applyFont="1" applyBorder="1" applyAlignment="1">
      <alignment vertical="center" wrapText="1"/>
    </xf>
    <xf numFmtId="0" fontId="24" fillId="31" borderId="4" xfId="1286" applyFont="1" applyFill="1" applyBorder="1" applyAlignment="1">
      <alignment horizontal="center" vertical="center" wrapText="1"/>
    </xf>
    <xf numFmtId="0" fontId="24" fillId="5" borderId="4" xfId="1286" applyFont="1" applyFill="1" applyBorder="1" applyAlignment="1">
      <alignment horizontal="center" vertical="center" wrapText="1"/>
    </xf>
    <xf numFmtId="0" fontId="24" fillId="8" borderId="1" xfId="1286" applyFont="1" applyFill="1" applyBorder="1" applyAlignment="1">
      <alignment horizontal="center" vertical="center" wrapText="1"/>
    </xf>
    <xf numFmtId="3" fontId="24" fillId="31" borderId="4" xfId="1286" applyNumberFormat="1" applyFont="1" applyFill="1" applyBorder="1" applyAlignment="1">
      <alignment horizontal="center" vertical="center" wrapText="1"/>
    </xf>
    <xf numFmtId="3" fontId="24" fillId="43" borderId="4" xfId="1286" applyNumberFormat="1" applyFont="1" applyFill="1" applyBorder="1" applyAlignment="1">
      <alignment horizontal="center" vertical="center" wrapText="1"/>
    </xf>
    <xf numFmtId="9" fontId="57" fillId="0" borderId="0" xfId="1286" applyNumberFormat="1" applyFont="1" applyAlignment="1">
      <alignment horizontal="center" vertical="center"/>
    </xf>
    <xf numFmtId="9" fontId="57" fillId="0" borderId="0" xfId="1286" quotePrefix="1" applyNumberFormat="1" applyFont="1" applyAlignment="1">
      <alignment horizontal="center" vertical="center"/>
    </xf>
    <xf numFmtId="0" fontId="57" fillId="0" borderId="0" xfId="1286" quotePrefix="1" applyFont="1" applyAlignment="1">
      <alignment horizontal="center" vertical="center"/>
    </xf>
    <xf numFmtId="0" fontId="51" fillId="31" borderId="4" xfId="1286" applyFont="1" applyFill="1" applyBorder="1" applyAlignment="1">
      <alignment horizontal="center" vertical="center" wrapText="1"/>
    </xf>
    <xf numFmtId="0" fontId="51" fillId="5" borderId="4" xfId="1286" applyFont="1" applyFill="1" applyBorder="1" applyAlignment="1">
      <alignment horizontal="center" vertical="center" wrapText="1"/>
    </xf>
    <xf numFmtId="0" fontId="51" fillId="8" borderId="4" xfId="1286" applyFont="1" applyFill="1" applyBorder="1" applyAlignment="1">
      <alignment horizontal="center" vertical="center" wrapText="1"/>
    </xf>
    <xf numFmtId="170" fontId="51" fillId="0" borderId="4" xfId="1286" applyNumberFormat="1" applyFont="1" applyBorder="1" applyAlignment="1">
      <alignment horizontal="center" vertical="center" wrapText="1"/>
    </xf>
    <xf numFmtId="167" fontId="57" fillId="0" borderId="0" xfId="1286" applyNumberFormat="1" applyFont="1" applyAlignment="1">
      <alignment horizontal="center" vertical="center"/>
    </xf>
    <xf numFmtId="4" fontId="51" fillId="0" borderId="4" xfId="1286" applyNumberFormat="1" applyFont="1" applyBorder="1" applyAlignment="1">
      <alignment horizontal="center" vertical="center" wrapText="1"/>
    </xf>
    <xf numFmtId="3" fontId="51" fillId="0" borderId="4" xfId="1286" applyNumberFormat="1" applyFont="1" applyBorder="1" applyAlignment="1">
      <alignment horizontal="center" vertical="center" wrapText="1"/>
    </xf>
    <xf numFmtId="0" fontId="51" fillId="8" borderId="4" xfId="1286" quotePrefix="1" applyFont="1" applyFill="1" applyBorder="1" applyAlignment="1">
      <alignment horizontal="center" vertical="center" wrapText="1"/>
    </xf>
    <xf numFmtId="4" fontId="59" fillId="0" borderId="0" xfId="1286" applyNumberFormat="1" applyFont="1"/>
    <xf numFmtId="0" fontId="59" fillId="0" borderId="0" xfId="1286" applyFont="1" applyBorder="1"/>
    <xf numFmtId="0" fontId="57" fillId="0" borderId="0" xfId="1286" applyFont="1" applyBorder="1" applyAlignment="1">
      <alignment horizontal="center" vertical="center"/>
    </xf>
    <xf numFmtId="0" fontId="51" fillId="5" borderId="4" xfId="1286" quotePrefix="1" applyFont="1" applyFill="1" applyBorder="1" applyAlignment="1">
      <alignment horizontal="center" vertical="center" wrapText="1"/>
    </xf>
    <xf numFmtId="170" fontId="59" fillId="0" borderId="0" xfId="1286" applyNumberFormat="1" applyFont="1" applyBorder="1" applyAlignment="1">
      <alignment horizontal="center" vertical="center" wrapText="1"/>
    </xf>
    <xf numFmtId="170" fontId="57" fillId="0" borderId="0" xfId="1286" applyNumberFormat="1" applyFont="1" applyBorder="1" applyAlignment="1">
      <alignment horizontal="center" vertical="center" wrapText="1"/>
    </xf>
    <xf numFmtId="3" fontId="51" fillId="0" borderId="0" xfId="1286" applyNumberFormat="1" applyFont="1" applyAlignment="1">
      <alignment horizontal="center" vertical="center" wrapText="1"/>
    </xf>
    <xf numFmtId="3" fontId="51" fillId="0" borderId="0" xfId="1286" applyNumberFormat="1" applyFont="1" applyAlignment="1">
      <alignment horizontal="center" vertical="center"/>
    </xf>
    <xf numFmtId="0" fontId="3" fillId="0" borderId="0" xfId="1286" applyFont="1" applyAlignment="1">
      <alignment horizontal="center" vertical="center" wrapText="1"/>
    </xf>
    <xf numFmtId="170" fontId="3" fillId="0" borderId="0" xfId="1286" applyNumberFormat="1" applyFont="1"/>
    <xf numFmtId="0" fontId="62" fillId="0" borderId="0" xfId="1286" applyFont="1"/>
    <xf numFmtId="0" fontId="63" fillId="0" borderId="0" xfId="1286" applyFont="1" applyAlignment="1">
      <alignment horizontal="center" vertical="center"/>
    </xf>
    <xf numFmtId="0" fontId="3" fillId="0" borderId="0" xfId="1286" applyFont="1"/>
    <xf numFmtId="0" fontId="3" fillId="0" borderId="0" xfId="1286" applyFont="1" applyBorder="1" applyAlignment="1">
      <alignment horizontal="center" vertical="center" wrapText="1"/>
    </xf>
    <xf numFmtId="0" fontId="9" fillId="0" borderId="0" xfId="1286" applyFont="1" applyBorder="1" applyAlignment="1">
      <alignment vertical="center" wrapText="1"/>
    </xf>
    <xf numFmtId="0" fontId="9" fillId="31" borderId="4" xfId="1286" applyFont="1" applyFill="1" applyBorder="1" applyAlignment="1">
      <alignment horizontal="center" vertical="center" wrapText="1"/>
    </xf>
    <xf numFmtId="0" fontId="9" fillId="5" borderId="4" xfId="1286" applyFont="1" applyFill="1" applyBorder="1" applyAlignment="1">
      <alignment horizontal="center" vertical="center" wrapText="1"/>
    </xf>
    <xf numFmtId="0" fontId="9" fillId="8" borderId="4" xfId="1286" applyFont="1" applyFill="1" applyBorder="1" applyAlignment="1">
      <alignment horizontal="center" vertical="center" wrapText="1"/>
    </xf>
    <xf numFmtId="3" fontId="9" fillId="31" borderId="4" xfId="1286" applyNumberFormat="1" applyFont="1" applyFill="1" applyBorder="1" applyAlignment="1">
      <alignment horizontal="center" vertical="center" wrapText="1"/>
    </xf>
    <xf numFmtId="170" fontId="9" fillId="43" borderId="4" xfId="1286" applyNumberFormat="1" applyFont="1" applyFill="1" applyBorder="1" applyAlignment="1">
      <alignment horizontal="center" vertical="center" wrapText="1"/>
    </xf>
    <xf numFmtId="0" fontId="3" fillId="31" borderId="4" xfId="1286" applyFont="1" applyFill="1" applyBorder="1" applyAlignment="1">
      <alignment horizontal="center" vertical="center" wrapText="1"/>
    </xf>
    <xf numFmtId="0" fontId="3" fillId="5" borderId="4" xfId="1286" applyFont="1" applyFill="1" applyBorder="1" applyAlignment="1">
      <alignment horizontal="center" vertical="center" wrapText="1"/>
    </xf>
    <xf numFmtId="0" fontId="3" fillId="8" borderId="1" xfId="1286" applyFont="1" applyFill="1" applyBorder="1" applyAlignment="1">
      <alignment horizontal="center" vertical="center" wrapText="1"/>
    </xf>
    <xf numFmtId="0" fontId="3" fillId="0" borderId="4" xfId="2" applyNumberFormat="1" applyFont="1" applyFill="1" applyBorder="1" applyAlignment="1" applyProtection="1">
      <alignment horizontal="center" vertical="center" wrapText="1"/>
      <protection locked="0"/>
    </xf>
    <xf numFmtId="167" fontId="3" fillId="0" borderId="4" xfId="2" applyNumberFormat="1" applyFont="1" applyFill="1" applyBorder="1" applyAlignment="1" applyProtection="1">
      <alignment horizontal="center" vertical="center" wrapText="1"/>
      <protection locked="0"/>
    </xf>
    <xf numFmtId="170" fontId="3" fillId="0" borderId="4" xfId="1286" applyNumberFormat="1" applyFont="1" applyBorder="1" applyAlignment="1">
      <alignment horizontal="center" vertical="center"/>
    </xf>
    <xf numFmtId="4" fontId="3" fillId="0" borderId="4" xfId="1286" applyNumberFormat="1" applyFont="1" applyBorder="1" applyAlignment="1">
      <alignment horizontal="center" vertical="center"/>
    </xf>
    <xf numFmtId="3" fontId="3" fillId="0" borderId="4" xfId="2" applyNumberFormat="1" applyFont="1" applyFill="1" applyBorder="1" applyAlignment="1" applyProtection="1">
      <alignment horizontal="center" vertical="center" wrapText="1"/>
      <protection locked="0"/>
    </xf>
    <xf numFmtId="3" fontId="3" fillId="0" borderId="4" xfId="1286" applyNumberFormat="1" applyFont="1" applyBorder="1" applyAlignment="1">
      <alignment horizontal="center" vertical="center"/>
    </xf>
    <xf numFmtId="171" fontId="3" fillId="0" borderId="4" xfId="1286" applyNumberFormat="1" applyFont="1" applyBorder="1" applyAlignment="1" applyProtection="1">
      <alignment horizontal="center" vertical="center" wrapText="1"/>
      <protection locked="0"/>
    </xf>
    <xf numFmtId="171" fontId="3" fillId="0" borderId="4" xfId="1286" applyNumberFormat="1" applyFont="1" applyBorder="1" applyAlignment="1" applyProtection="1">
      <alignment horizontal="center" vertical="center"/>
      <protection locked="0"/>
    </xf>
    <xf numFmtId="167" fontId="3" fillId="0" borderId="4" xfId="1286" applyNumberFormat="1" applyFont="1" applyBorder="1" applyAlignment="1">
      <alignment horizontal="center" vertical="center"/>
    </xf>
    <xf numFmtId="0" fontId="3" fillId="8" borderId="1" xfId="1286" quotePrefix="1" applyFont="1" applyFill="1" applyBorder="1" applyAlignment="1">
      <alignment horizontal="center" vertical="center" wrapText="1"/>
    </xf>
    <xf numFmtId="170" fontId="3" fillId="44" borderId="4" xfId="1286" applyNumberFormat="1" applyFont="1" applyFill="1" applyBorder="1" applyAlignment="1" applyProtection="1">
      <alignment horizontal="center" vertical="center" wrapText="1"/>
      <protection locked="0"/>
    </xf>
    <xf numFmtId="0" fontId="3" fillId="5" borderId="3" xfId="1286" applyFont="1" applyFill="1" applyBorder="1" applyAlignment="1">
      <alignment horizontal="center" vertical="center" wrapText="1"/>
    </xf>
    <xf numFmtId="0" fontId="3" fillId="0" borderId="4" xfId="2" applyFont="1" applyFill="1" applyBorder="1" applyAlignment="1" applyProtection="1">
      <alignment horizontal="center" vertical="center" wrapText="1"/>
      <protection locked="0"/>
    </xf>
    <xf numFmtId="0" fontId="3" fillId="5" borderId="4" xfId="1286" quotePrefix="1" applyFont="1" applyFill="1" applyBorder="1" applyAlignment="1">
      <alignment horizontal="center" vertical="center" wrapText="1"/>
    </xf>
    <xf numFmtId="170" fontId="3" fillId="0" borderId="4" xfId="1286" applyNumberFormat="1" applyFont="1" applyBorder="1" applyAlignment="1" applyProtection="1">
      <alignment horizontal="center" vertical="center"/>
      <protection locked="0"/>
    </xf>
    <xf numFmtId="0" fontId="3" fillId="0" borderId="4" xfId="1286" applyFont="1" applyBorder="1" applyAlignment="1">
      <alignment horizontal="center" vertical="center" wrapText="1"/>
    </xf>
    <xf numFmtId="0" fontId="3" fillId="0" borderId="0" xfId="1286" applyFont="1" applyAlignment="1">
      <alignment horizontal="center" vertical="center"/>
    </xf>
    <xf numFmtId="0" fontId="59" fillId="0" borderId="0" xfId="1286" applyFont="1" applyBorder="1" applyAlignment="1">
      <alignment horizontal="center" vertical="center"/>
    </xf>
    <xf numFmtId="0" fontId="24" fillId="31" borderId="1" xfId="1286" applyFont="1" applyFill="1" applyBorder="1" applyAlignment="1">
      <alignment horizontal="center" vertical="center" wrapText="1"/>
    </xf>
    <xf numFmtId="0" fontId="51" fillId="8" borderId="1" xfId="1286" applyFont="1" applyFill="1" applyBorder="1" applyAlignment="1">
      <alignment horizontal="center" vertical="center" wrapText="1"/>
    </xf>
    <xf numFmtId="170" fontId="3" fillId="0" borderId="4" xfId="2" applyNumberFormat="1" applyFont="1" applyFill="1" applyBorder="1" applyAlignment="1" applyProtection="1">
      <alignment horizontal="center" vertical="center" wrapText="1"/>
      <protection locked="0"/>
    </xf>
    <xf numFmtId="170" fontId="3" fillId="0" borderId="1" xfId="2" applyNumberFormat="1" applyFont="1" applyFill="1" applyBorder="1" applyAlignment="1" applyProtection="1">
      <alignment horizontal="center" vertical="center" wrapText="1"/>
      <protection locked="0"/>
    </xf>
    <xf numFmtId="167" fontId="59" fillId="0" borderId="0" xfId="1286" applyNumberFormat="1" applyFont="1" applyBorder="1" applyAlignment="1">
      <alignment horizontal="center" vertical="center"/>
    </xf>
    <xf numFmtId="2" fontId="3" fillId="0" borderId="4" xfId="1286" applyNumberFormat="1" applyFont="1" applyFill="1" applyBorder="1" applyAlignment="1" applyProtection="1">
      <alignment horizontal="center" vertical="center" wrapText="1"/>
      <protection locked="0"/>
    </xf>
    <xf numFmtId="2" fontId="3" fillId="0" borderId="1" xfId="1286" applyNumberFormat="1" applyFont="1" applyFill="1" applyBorder="1" applyAlignment="1" applyProtection="1">
      <alignment horizontal="center" vertical="center" wrapText="1"/>
      <protection locked="0"/>
    </xf>
    <xf numFmtId="3" fontId="3" fillId="0" borderId="4" xfId="1286" applyNumberFormat="1" applyFont="1" applyFill="1" applyBorder="1" applyAlignment="1" applyProtection="1">
      <alignment horizontal="center" vertical="center" wrapText="1"/>
      <protection locked="0"/>
    </xf>
    <xf numFmtId="3" fontId="3" fillId="0" borderId="1" xfId="1286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2" applyFont="1" applyFill="1" applyBorder="1" applyAlignment="1" applyProtection="1">
      <alignment horizontal="center" vertical="center" wrapText="1"/>
      <protection locked="0"/>
    </xf>
    <xf numFmtId="0" fontId="51" fillId="8" borderId="1" xfId="1286" quotePrefix="1" applyFont="1" applyFill="1" applyBorder="1" applyAlignment="1">
      <alignment horizontal="center" vertical="center" wrapText="1"/>
    </xf>
    <xf numFmtId="167" fontId="3" fillId="0" borderId="4" xfId="1286" applyNumberFormat="1" applyFont="1" applyFill="1" applyBorder="1" applyAlignment="1" applyProtection="1">
      <alignment horizontal="center" vertical="center"/>
      <protection locked="0"/>
    </xf>
    <xf numFmtId="167" fontId="3" fillId="0" borderId="1" xfId="1286" applyNumberFormat="1" applyFont="1" applyFill="1" applyBorder="1" applyAlignment="1" applyProtection="1">
      <alignment horizontal="center" vertical="center"/>
      <protection locked="0"/>
    </xf>
    <xf numFmtId="3" fontId="3" fillId="0" borderId="1" xfId="2" applyNumberFormat="1" applyFont="1" applyFill="1" applyBorder="1" applyAlignment="1" applyProtection="1">
      <alignment horizontal="center" vertical="center" wrapText="1"/>
      <protection locked="0"/>
    </xf>
    <xf numFmtId="3" fontId="59" fillId="0" borderId="0" xfId="1286" applyNumberFormat="1" applyFont="1" applyBorder="1" applyAlignment="1">
      <alignment horizontal="center" vertical="center"/>
    </xf>
    <xf numFmtId="0" fontId="64" fillId="0" borderId="4" xfId="2" applyFont="1" applyFill="1" applyBorder="1" applyAlignment="1" applyProtection="1">
      <alignment horizontal="center" vertical="center" wrapText="1"/>
      <protection locked="0"/>
    </xf>
    <xf numFmtId="2" fontId="59" fillId="0" borderId="0" xfId="1286" applyNumberFormat="1" applyFont="1" applyBorder="1" applyAlignment="1">
      <alignment horizontal="center" vertical="center"/>
    </xf>
    <xf numFmtId="1" fontId="3" fillId="0" borderId="4" xfId="2" applyNumberFormat="1" applyFont="1" applyFill="1" applyBorder="1" applyAlignment="1" applyProtection="1">
      <alignment horizontal="center" vertical="center" wrapText="1"/>
      <protection locked="0"/>
    </xf>
    <xf numFmtId="2" fontId="3" fillId="0" borderId="4" xfId="2" applyNumberFormat="1" applyFont="1" applyFill="1" applyBorder="1" applyAlignment="1" applyProtection="1">
      <alignment horizontal="center" vertical="center" wrapText="1"/>
      <protection locked="0"/>
    </xf>
    <xf numFmtId="2" fontId="3" fillId="0" borderId="1" xfId="2" applyNumberFormat="1" applyFont="1" applyFill="1" applyBorder="1" applyAlignment="1" applyProtection="1">
      <alignment horizontal="center" vertical="center" wrapText="1"/>
      <protection locked="0"/>
    </xf>
    <xf numFmtId="1" fontId="59" fillId="0" borderId="0" xfId="1286" applyNumberFormat="1" applyFont="1" applyBorder="1" applyAlignment="1">
      <alignment horizontal="center" vertical="center"/>
    </xf>
    <xf numFmtId="0" fontId="51" fillId="5" borderId="3" xfId="1286" applyFont="1" applyFill="1" applyBorder="1" applyAlignment="1">
      <alignment horizontal="center" vertical="center" wrapText="1"/>
    </xf>
    <xf numFmtId="0" fontId="59" fillId="0" borderId="0" xfId="1286" applyFont="1" applyAlignment="1">
      <alignment horizontal="center" vertical="center" wrapText="1"/>
    </xf>
    <xf numFmtId="3" fontId="59" fillId="0" borderId="0" xfId="1286" applyNumberFormat="1" applyFont="1" applyAlignment="1">
      <alignment horizontal="center" vertical="center" wrapText="1"/>
    </xf>
    <xf numFmtId="0" fontId="58" fillId="0" borderId="0" xfId="1286" applyFont="1" applyAlignment="1">
      <alignment horizontal="center" vertical="center" wrapText="1"/>
    </xf>
    <xf numFmtId="0" fontId="51" fillId="0" borderId="0" xfId="1286" applyFont="1" applyAlignment="1">
      <alignment horizontal="center" vertical="center"/>
    </xf>
    <xf numFmtId="0" fontId="24" fillId="44" borderId="0" xfId="1286" applyFont="1" applyFill="1" applyBorder="1" applyAlignment="1">
      <alignment vertical="center" wrapText="1"/>
    </xf>
    <xf numFmtId="0" fontId="24" fillId="0" borderId="0" xfId="1286" applyFont="1" applyAlignment="1">
      <alignment horizontal="center" vertical="center" wrapText="1"/>
    </xf>
    <xf numFmtId="0" fontId="24" fillId="44" borderId="0" xfId="1286" applyFont="1" applyFill="1" applyBorder="1" applyAlignment="1">
      <alignment horizontal="center" vertical="center" wrapText="1"/>
    </xf>
    <xf numFmtId="0" fontId="24" fillId="0" borderId="0" xfId="1286" applyFont="1"/>
    <xf numFmtId="170" fontId="51" fillId="0" borderId="4" xfId="1286" applyNumberFormat="1" applyFont="1" applyBorder="1" applyAlignment="1" applyProtection="1">
      <alignment horizontal="center" vertical="center" wrapText="1"/>
      <protection locked="0"/>
    </xf>
    <xf numFmtId="4" fontId="51" fillId="0" borderId="4" xfId="1286" applyNumberFormat="1" applyFont="1" applyBorder="1" applyAlignment="1" applyProtection="1">
      <alignment horizontal="center" vertical="center" wrapText="1"/>
      <protection locked="0"/>
    </xf>
    <xf numFmtId="3" fontId="51" fillId="0" borderId="4" xfId="1286" applyNumberFormat="1" applyFont="1" applyBorder="1" applyAlignment="1" applyProtection="1">
      <alignment horizontal="center" vertical="center" wrapText="1"/>
      <protection locked="0"/>
    </xf>
    <xf numFmtId="167" fontId="51" fillId="44" borderId="0" xfId="1286" applyNumberFormat="1" applyFont="1" applyFill="1" applyBorder="1" applyAlignment="1">
      <alignment horizontal="center" vertical="center" wrapText="1"/>
    </xf>
    <xf numFmtId="3" fontId="51" fillId="44" borderId="0" xfId="1286" applyNumberFormat="1" applyFont="1" applyFill="1" applyBorder="1" applyAlignment="1">
      <alignment horizontal="center" vertical="center" wrapText="1"/>
    </xf>
    <xf numFmtId="165" fontId="51" fillId="0" borderId="0" xfId="114" applyNumberFormat="1" applyFont="1"/>
    <xf numFmtId="167" fontId="51" fillId="0" borderId="4" xfId="1286" applyNumberFormat="1" applyFont="1" applyBorder="1" applyAlignment="1">
      <alignment horizontal="center" vertical="center"/>
    </xf>
    <xf numFmtId="167" fontId="51" fillId="0" borderId="4" xfId="1286" applyNumberFormat="1" applyFont="1" applyBorder="1" applyAlignment="1">
      <alignment horizontal="center" vertical="center" wrapText="1"/>
    </xf>
    <xf numFmtId="0" fontId="9" fillId="31" borderId="4" xfId="1286" applyFont="1" applyFill="1" applyBorder="1" applyAlignment="1">
      <alignment horizontal="left" vertical="center" wrapText="1"/>
    </xf>
    <xf numFmtId="1" fontId="51" fillId="0" borderId="0" xfId="1286" applyNumberFormat="1" applyFont="1" applyAlignment="1">
      <alignment horizontal="center" vertical="center" wrapText="1"/>
    </xf>
    <xf numFmtId="0" fontId="62" fillId="0" borderId="0" xfId="1286" applyFont="1" applyAlignment="1">
      <alignment horizontal="center" vertical="center"/>
    </xf>
    <xf numFmtId="0" fontId="3" fillId="0" borderId="0" xfId="1286" applyFont="1" applyAlignment="1">
      <alignment vertical="center"/>
    </xf>
    <xf numFmtId="3" fontId="9" fillId="31" borderId="76" xfId="1286" applyNumberFormat="1" applyFont="1" applyFill="1" applyBorder="1" applyAlignment="1">
      <alignment horizontal="center" vertical="center" wrapText="1"/>
    </xf>
    <xf numFmtId="3" fontId="9" fillId="31" borderId="77" xfId="1286" applyNumberFormat="1" applyFont="1" applyFill="1" applyBorder="1" applyAlignment="1">
      <alignment horizontal="center" vertical="center" wrapText="1"/>
    </xf>
    <xf numFmtId="3" fontId="9" fillId="31" borderId="86" xfId="1286" applyNumberFormat="1" applyFont="1" applyFill="1" applyBorder="1" applyAlignment="1">
      <alignment horizontal="center" vertical="center" wrapText="1"/>
    </xf>
    <xf numFmtId="0" fontId="65" fillId="45" borderId="77" xfId="1286" applyFont="1" applyFill="1" applyBorder="1" applyAlignment="1">
      <alignment horizontal="center" vertical="center" wrapText="1"/>
    </xf>
    <xf numFmtId="0" fontId="65" fillId="46" borderId="77" xfId="1286" applyFont="1" applyFill="1" applyBorder="1" applyAlignment="1">
      <alignment horizontal="center" vertical="center" wrapText="1"/>
    </xf>
    <xf numFmtId="0" fontId="65" fillId="47" borderId="77" xfId="1286" applyFont="1" applyFill="1" applyBorder="1" applyAlignment="1">
      <alignment horizontal="center" vertical="center" wrapText="1"/>
    </xf>
    <xf numFmtId="0" fontId="66" fillId="2" borderId="87" xfId="1286" applyFont="1" applyFill="1" applyBorder="1" applyAlignment="1">
      <alignment horizontal="center" vertical="center" wrapText="1"/>
    </xf>
    <xf numFmtId="0" fontId="3" fillId="0" borderId="88" xfId="1286" applyFont="1" applyBorder="1" applyAlignment="1">
      <alignment vertical="center"/>
    </xf>
    <xf numFmtId="3" fontId="9" fillId="31" borderId="89" xfId="1286" applyNumberFormat="1" applyFont="1" applyFill="1" applyBorder="1" applyAlignment="1">
      <alignment horizontal="center" vertical="center" wrapText="1"/>
    </xf>
    <xf numFmtId="3" fontId="9" fillId="31" borderId="90" xfId="1286" applyNumberFormat="1" applyFont="1" applyFill="1" applyBorder="1" applyAlignment="1">
      <alignment horizontal="center" vertical="center" wrapText="1"/>
    </xf>
    <xf numFmtId="3" fontId="9" fillId="31" borderId="91" xfId="1286" applyNumberFormat="1" applyFont="1" applyFill="1" applyBorder="1" applyAlignment="1">
      <alignment horizontal="center" vertical="center" wrapText="1"/>
    </xf>
    <xf numFmtId="0" fontId="65" fillId="45" borderId="89" xfId="1286" applyFont="1" applyFill="1" applyBorder="1" applyAlignment="1">
      <alignment horizontal="center" vertical="center" wrapText="1"/>
    </xf>
    <xf numFmtId="0" fontId="65" fillId="46" borderId="90" xfId="1286" applyFont="1" applyFill="1" applyBorder="1" applyAlignment="1">
      <alignment horizontal="center" vertical="center" wrapText="1"/>
    </xf>
    <xf numFmtId="0" fontId="65" fillId="47" borderId="90" xfId="1286" applyFont="1" applyFill="1" applyBorder="1" applyAlignment="1">
      <alignment horizontal="center" vertical="center" wrapText="1"/>
    </xf>
    <xf numFmtId="0" fontId="65" fillId="2" borderId="92" xfId="1286" applyFont="1" applyFill="1" applyBorder="1" applyAlignment="1">
      <alignment horizontal="center" vertical="center" wrapText="1"/>
    </xf>
    <xf numFmtId="0" fontId="3" fillId="48" borderId="93" xfId="1286" applyFont="1" applyFill="1" applyBorder="1" applyAlignment="1">
      <alignment horizontal="center" vertical="center" wrapText="1"/>
    </xf>
    <xf numFmtId="0" fontId="3" fillId="48" borderId="94" xfId="1286" applyFont="1" applyFill="1" applyBorder="1" applyAlignment="1">
      <alignment horizontal="center" vertical="center" wrapText="1"/>
    </xf>
    <xf numFmtId="168" fontId="3" fillId="0" borderId="95" xfId="175" applyNumberFormat="1" applyFont="1" applyBorder="1" applyAlignment="1">
      <alignment horizontal="center" vertical="center" wrapText="1"/>
    </xf>
    <xf numFmtId="168" fontId="67" fillId="45" borderId="95" xfId="175" applyNumberFormat="1" applyFont="1" applyFill="1" applyBorder="1" applyAlignment="1">
      <alignment horizontal="center" vertical="center" wrapText="1"/>
    </xf>
    <xf numFmtId="168" fontId="67" fillId="46" borderId="95" xfId="175" applyNumberFormat="1" applyFont="1" applyFill="1" applyBorder="1" applyAlignment="1">
      <alignment horizontal="center" vertical="center" wrapText="1"/>
    </xf>
    <xf numFmtId="168" fontId="67" fillId="47" borderId="95" xfId="175" applyNumberFormat="1" applyFont="1" applyFill="1" applyBorder="1" applyAlignment="1">
      <alignment horizontal="center" vertical="center" wrapText="1"/>
    </xf>
    <xf numFmtId="168" fontId="65" fillId="2" borderId="96" xfId="175" applyNumberFormat="1" applyFont="1" applyFill="1" applyBorder="1" applyAlignment="1">
      <alignment horizontal="center" vertical="center" wrapText="1"/>
    </xf>
    <xf numFmtId="167" fontId="62" fillId="0" borderId="0" xfId="1286" applyNumberFormat="1" applyFont="1" applyAlignment="1">
      <alignment horizontal="center" vertical="center"/>
    </xf>
    <xf numFmtId="0" fontId="3" fillId="0" borderId="97" xfId="1286" applyFont="1" applyFill="1" applyBorder="1" applyAlignment="1">
      <alignment horizontal="center" vertical="center" wrapText="1"/>
    </xf>
    <xf numFmtId="0" fontId="3" fillId="0" borderId="98" xfId="1286" applyFont="1" applyFill="1" applyBorder="1" applyAlignment="1">
      <alignment horizontal="center" vertical="center" wrapText="1"/>
    </xf>
    <xf numFmtId="167" fontId="3" fillId="44" borderId="99" xfId="175" applyNumberFormat="1" applyFont="1" applyFill="1" applyBorder="1" applyAlignment="1">
      <alignment horizontal="center" vertical="center" wrapText="1"/>
    </xf>
    <xf numFmtId="167" fontId="3" fillId="44" borderId="100" xfId="175" applyNumberFormat="1" applyFont="1" applyFill="1" applyBorder="1" applyAlignment="1">
      <alignment horizontal="center" vertical="center" wrapText="1"/>
    </xf>
    <xf numFmtId="167" fontId="3" fillId="44" borderId="101" xfId="175" applyNumberFormat="1" applyFont="1" applyFill="1" applyBorder="1" applyAlignment="1">
      <alignment horizontal="center" vertical="center" wrapText="1"/>
    </xf>
    <xf numFmtId="167" fontId="68" fillId="45" borderId="99" xfId="1286" applyNumberFormat="1" applyFont="1" applyFill="1" applyBorder="1" applyAlignment="1">
      <alignment horizontal="center" vertical="center" wrapText="1"/>
    </xf>
    <xf numFmtId="167" fontId="68" fillId="50" borderId="100" xfId="1286" applyNumberFormat="1" applyFont="1" applyFill="1" applyBorder="1" applyAlignment="1">
      <alignment horizontal="center" vertical="center" wrapText="1"/>
    </xf>
    <xf numFmtId="167" fontId="68" fillId="51" borderId="100" xfId="1286" applyNumberFormat="1" applyFont="1" applyFill="1" applyBorder="1" applyAlignment="1">
      <alignment horizontal="center" vertical="center" wrapText="1"/>
    </xf>
    <xf numFmtId="167" fontId="68" fillId="2" borderId="101" xfId="1286" applyNumberFormat="1" applyFont="1" applyFill="1" applyBorder="1" applyAlignment="1">
      <alignment horizontal="center" vertical="center" wrapText="1"/>
    </xf>
    <xf numFmtId="0" fontId="9" fillId="48" borderId="102" xfId="1286" applyFont="1" applyFill="1" applyBorder="1" applyAlignment="1">
      <alignment horizontal="center" vertical="center" wrapText="1"/>
    </xf>
    <xf numFmtId="0" fontId="9" fillId="48" borderId="95" xfId="1286" applyFont="1" applyFill="1" applyBorder="1" applyAlignment="1">
      <alignment horizontal="center" vertical="center" wrapText="1"/>
    </xf>
    <xf numFmtId="172" fontId="9" fillId="0" borderId="95" xfId="175" applyNumberFormat="1" applyFont="1" applyBorder="1" applyAlignment="1">
      <alignment horizontal="center" vertical="center" wrapText="1"/>
    </xf>
    <xf numFmtId="172" fontId="67" fillId="45" borderId="95" xfId="175" applyNumberFormat="1" applyFont="1" applyFill="1" applyBorder="1" applyAlignment="1">
      <alignment horizontal="center" vertical="center" wrapText="1"/>
    </xf>
    <xf numFmtId="172" fontId="67" fillId="46" borderId="95" xfId="175" applyNumberFormat="1" applyFont="1" applyFill="1" applyBorder="1" applyAlignment="1">
      <alignment horizontal="center" vertical="center" wrapText="1"/>
    </xf>
    <xf numFmtId="172" fontId="67" fillId="47" borderId="95" xfId="175" applyNumberFormat="1" applyFont="1" applyFill="1" applyBorder="1" applyAlignment="1">
      <alignment horizontal="center" vertical="center" wrapText="1"/>
    </xf>
    <xf numFmtId="172" fontId="65" fillId="2" borderId="103" xfId="175" applyNumberFormat="1" applyFont="1" applyFill="1" applyBorder="1" applyAlignment="1">
      <alignment horizontal="center" vertical="center" wrapText="1"/>
    </xf>
    <xf numFmtId="172" fontId="62" fillId="0" borderId="0" xfId="1286" applyNumberFormat="1" applyFont="1" applyAlignment="1">
      <alignment horizontal="center" vertical="center"/>
    </xf>
    <xf numFmtId="0" fontId="3" fillId="0" borderId="104" xfId="1286" applyFont="1" applyFill="1" applyBorder="1" applyAlignment="1">
      <alignment horizontal="center" vertical="center" wrapText="1"/>
    </xf>
    <xf numFmtId="0" fontId="3" fillId="0" borderId="105" xfId="1286" applyFont="1" applyFill="1" applyBorder="1" applyAlignment="1">
      <alignment horizontal="center" vertical="center" wrapText="1"/>
    </xf>
    <xf numFmtId="2" fontId="3" fillId="44" borderId="102" xfId="175" applyNumberFormat="1" applyFont="1" applyFill="1" applyBorder="1" applyAlignment="1">
      <alignment horizontal="center" vertical="center" wrapText="1"/>
    </xf>
    <xf numFmtId="2" fontId="3" fillId="44" borderId="95" xfId="175" applyNumberFormat="1" applyFont="1" applyFill="1" applyBorder="1" applyAlignment="1">
      <alignment horizontal="center" vertical="center" wrapText="1"/>
    </xf>
    <xf numFmtId="2" fontId="3" fillId="44" borderId="106" xfId="175" applyNumberFormat="1" applyFont="1" applyFill="1" applyBorder="1" applyAlignment="1">
      <alignment horizontal="center" vertical="center" wrapText="1"/>
    </xf>
    <xf numFmtId="2" fontId="68" fillId="45" borderId="102" xfId="1286" applyNumberFormat="1" applyFont="1" applyFill="1" applyBorder="1" applyAlignment="1">
      <alignment horizontal="center" vertical="center" wrapText="1"/>
    </xf>
    <xf numFmtId="2" fontId="68" fillId="50" borderId="95" xfId="1286" applyNumberFormat="1" applyFont="1" applyFill="1" applyBorder="1" applyAlignment="1">
      <alignment horizontal="center" vertical="center" wrapText="1"/>
    </xf>
    <xf numFmtId="2" fontId="68" fillId="51" borderId="95" xfId="1286" applyNumberFormat="1" applyFont="1" applyFill="1" applyBorder="1" applyAlignment="1">
      <alignment horizontal="center" vertical="center" wrapText="1"/>
    </xf>
    <xf numFmtId="2" fontId="68" fillId="2" borderId="106" xfId="1286" applyNumberFormat="1" applyFont="1" applyFill="1" applyBorder="1" applyAlignment="1">
      <alignment horizontal="center" vertical="center" wrapText="1"/>
    </xf>
    <xf numFmtId="2" fontId="62" fillId="0" borderId="0" xfId="1286" applyNumberFormat="1" applyFont="1" applyAlignment="1">
      <alignment horizontal="center" vertical="center"/>
    </xf>
    <xf numFmtId="0" fontId="3" fillId="48" borderId="102" xfId="1286" applyFont="1" applyFill="1" applyBorder="1" applyAlignment="1">
      <alignment horizontal="center" vertical="center" wrapText="1"/>
    </xf>
    <xf numFmtId="0" fontId="3" fillId="48" borderId="95" xfId="1286" applyFont="1" applyFill="1" applyBorder="1" applyAlignment="1">
      <alignment horizontal="center" vertical="center" wrapText="1"/>
    </xf>
    <xf numFmtId="3" fontId="3" fillId="44" borderId="102" xfId="175" applyNumberFormat="1" applyFont="1" applyFill="1" applyBorder="1" applyAlignment="1">
      <alignment horizontal="center" vertical="center" wrapText="1"/>
    </xf>
    <xf numFmtId="3" fontId="3" fillId="44" borderId="95" xfId="175" applyNumberFormat="1" applyFont="1" applyFill="1" applyBorder="1" applyAlignment="1">
      <alignment horizontal="center" vertical="center" wrapText="1"/>
    </xf>
    <xf numFmtId="3" fontId="3" fillId="44" borderId="106" xfId="175" applyNumberFormat="1" applyFont="1" applyFill="1" applyBorder="1" applyAlignment="1">
      <alignment horizontal="center" vertical="center" wrapText="1"/>
    </xf>
    <xf numFmtId="3" fontId="68" fillId="45" borderId="102" xfId="1286" applyNumberFormat="1" applyFont="1" applyFill="1" applyBorder="1" applyAlignment="1">
      <alignment horizontal="center" vertical="center" wrapText="1"/>
    </xf>
    <xf numFmtId="3" fontId="68" fillId="50" borderId="95" xfId="1286" applyNumberFormat="1" applyFont="1" applyFill="1" applyBorder="1" applyAlignment="1">
      <alignment horizontal="center" vertical="center" wrapText="1"/>
    </xf>
    <xf numFmtId="3" fontId="68" fillId="51" borderId="95" xfId="1286" applyNumberFormat="1" applyFont="1" applyFill="1" applyBorder="1" applyAlignment="1">
      <alignment horizontal="center" vertical="center" wrapText="1"/>
    </xf>
    <xf numFmtId="3" fontId="68" fillId="2" borderId="106" xfId="1286" applyNumberFormat="1" applyFont="1" applyFill="1" applyBorder="1" applyAlignment="1">
      <alignment horizontal="center" vertical="center" wrapText="1"/>
    </xf>
    <xf numFmtId="3" fontId="62" fillId="0" borderId="0" xfId="1286" applyNumberFormat="1" applyFont="1" applyAlignment="1">
      <alignment horizontal="center" vertical="center"/>
    </xf>
    <xf numFmtId="1" fontId="62" fillId="0" borderId="0" xfId="1286" applyNumberFormat="1" applyFont="1" applyAlignment="1">
      <alignment horizontal="center" vertical="center"/>
    </xf>
    <xf numFmtId="173" fontId="3" fillId="0" borderId="95" xfId="175" applyNumberFormat="1" applyFont="1" applyBorder="1" applyAlignment="1">
      <alignment horizontal="center" vertical="center" wrapText="1"/>
    </xf>
    <xf numFmtId="173" fontId="67" fillId="45" borderId="95" xfId="175" applyNumberFormat="1" applyFont="1" applyFill="1" applyBorder="1" applyAlignment="1">
      <alignment horizontal="center" vertical="center" wrapText="1"/>
    </xf>
    <xf numFmtId="173" fontId="67" fillId="46" borderId="95" xfId="175" applyNumberFormat="1" applyFont="1" applyFill="1" applyBorder="1" applyAlignment="1">
      <alignment horizontal="center" vertical="center" wrapText="1"/>
    </xf>
    <xf numFmtId="173" fontId="67" fillId="47" borderId="95" xfId="175" applyNumberFormat="1" applyFont="1" applyFill="1" applyBorder="1" applyAlignment="1">
      <alignment horizontal="center" vertical="center" wrapText="1"/>
    </xf>
    <xf numFmtId="173" fontId="65" fillId="2" borderId="103" xfId="175" applyNumberFormat="1" applyFont="1" applyFill="1" applyBorder="1" applyAlignment="1">
      <alignment horizontal="center" vertical="center" wrapText="1"/>
    </xf>
    <xf numFmtId="167" fontId="3" fillId="44" borderId="102" xfId="175" applyNumberFormat="1" applyFont="1" applyFill="1" applyBorder="1" applyAlignment="1">
      <alignment horizontal="center" vertical="center" wrapText="1"/>
    </xf>
    <xf numFmtId="167" fontId="3" fillId="44" borderId="95" xfId="175" applyNumberFormat="1" applyFont="1" applyFill="1" applyBorder="1" applyAlignment="1">
      <alignment horizontal="center" vertical="center" wrapText="1"/>
    </xf>
    <xf numFmtId="167" fontId="3" fillId="44" borderId="106" xfId="175" applyNumberFormat="1" applyFont="1" applyFill="1" applyBorder="1" applyAlignment="1">
      <alignment horizontal="center" vertical="center" wrapText="1"/>
    </xf>
    <xf numFmtId="167" fontId="68" fillId="45" borderId="102" xfId="1286" applyNumberFormat="1" applyFont="1" applyFill="1" applyBorder="1" applyAlignment="1">
      <alignment horizontal="center" vertical="center" wrapText="1"/>
    </xf>
    <xf numFmtId="167" fontId="68" fillId="50" borderId="95" xfId="1286" applyNumberFormat="1" applyFont="1" applyFill="1" applyBorder="1" applyAlignment="1">
      <alignment horizontal="center" vertical="center" wrapText="1"/>
    </xf>
    <xf numFmtId="167" fontId="68" fillId="51" borderId="95" xfId="1286" applyNumberFormat="1" applyFont="1" applyFill="1" applyBorder="1" applyAlignment="1">
      <alignment horizontal="center" vertical="center" wrapText="1"/>
    </xf>
    <xf numFmtId="167" fontId="68" fillId="2" borderId="106" xfId="1286" applyNumberFormat="1" applyFont="1" applyFill="1" applyBorder="1" applyAlignment="1">
      <alignment horizontal="center" vertical="center" wrapText="1"/>
    </xf>
    <xf numFmtId="0" fontId="9" fillId="0" borderId="107" xfId="1286" applyFont="1" applyFill="1" applyBorder="1" applyAlignment="1">
      <alignment horizontal="center" vertical="center" wrapText="1"/>
    </xf>
    <xf numFmtId="0" fontId="9" fillId="0" borderId="108" xfId="1286" applyFont="1" applyFill="1" applyBorder="1" applyAlignment="1">
      <alignment horizontal="center" vertical="center" wrapText="1"/>
    </xf>
    <xf numFmtId="3" fontId="3" fillId="44" borderId="109" xfId="175" applyNumberFormat="1" applyFont="1" applyFill="1" applyBorder="1" applyAlignment="1">
      <alignment horizontal="center" vertical="center" wrapText="1"/>
    </xf>
    <xf numFmtId="3" fontId="3" fillId="44" borderId="110" xfId="175" applyNumberFormat="1" applyFont="1" applyFill="1" applyBorder="1" applyAlignment="1">
      <alignment horizontal="center" vertical="center" wrapText="1"/>
    </xf>
    <xf numFmtId="3" fontId="3" fillId="44" borderId="111" xfId="175" applyNumberFormat="1" applyFont="1" applyFill="1" applyBorder="1" applyAlignment="1">
      <alignment horizontal="center" vertical="center" wrapText="1"/>
    </xf>
    <xf numFmtId="3" fontId="68" fillId="45" borderId="109" xfId="1286" applyNumberFormat="1" applyFont="1" applyFill="1" applyBorder="1" applyAlignment="1">
      <alignment horizontal="center" vertical="center" wrapText="1"/>
    </xf>
    <xf numFmtId="3" fontId="68" fillId="50" borderId="110" xfId="1286" applyNumberFormat="1" applyFont="1" applyFill="1" applyBorder="1" applyAlignment="1">
      <alignment horizontal="center" vertical="center" wrapText="1"/>
    </xf>
    <xf numFmtId="3" fontId="68" fillId="51" borderId="110" xfId="1286" applyNumberFormat="1" applyFont="1" applyFill="1" applyBorder="1" applyAlignment="1">
      <alignment horizontal="center" vertical="center" wrapText="1"/>
    </xf>
    <xf numFmtId="3" fontId="68" fillId="2" borderId="111" xfId="1286" applyNumberFormat="1" applyFont="1" applyFill="1" applyBorder="1" applyAlignment="1">
      <alignment horizontal="center" vertical="center" wrapText="1"/>
    </xf>
    <xf numFmtId="0" fontId="3" fillId="0" borderId="112" xfId="1286" applyFont="1" applyFill="1" applyBorder="1" applyAlignment="1">
      <alignment horizontal="center" vertical="center" wrapText="1"/>
    </xf>
    <xf numFmtId="0" fontId="9" fillId="0" borderId="104" xfId="1286" applyFont="1" applyFill="1" applyBorder="1" applyAlignment="1">
      <alignment horizontal="center" vertical="center" wrapText="1"/>
    </xf>
    <xf numFmtId="0" fontId="9" fillId="0" borderId="113" xfId="1286" applyFont="1" applyFill="1" applyBorder="1" applyAlignment="1">
      <alignment horizontal="center" vertical="center" wrapText="1"/>
    </xf>
    <xf numFmtId="172" fontId="3" fillId="0" borderId="95" xfId="175" applyNumberFormat="1" applyFont="1" applyBorder="1" applyAlignment="1">
      <alignment horizontal="center" vertical="center" wrapText="1"/>
    </xf>
    <xf numFmtId="172" fontId="69" fillId="45" borderId="95" xfId="175" applyNumberFormat="1" applyFont="1" applyFill="1" applyBorder="1" applyAlignment="1">
      <alignment horizontal="center" vertical="center" wrapText="1"/>
    </xf>
    <xf numFmtId="172" fontId="69" fillId="46" borderId="95" xfId="175" applyNumberFormat="1" applyFont="1" applyFill="1" applyBorder="1" applyAlignment="1">
      <alignment horizontal="center" vertical="center" wrapText="1"/>
    </xf>
    <xf numFmtId="172" fontId="69" fillId="47" borderId="95" xfId="175" applyNumberFormat="1" applyFont="1" applyFill="1" applyBorder="1" applyAlignment="1">
      <alignment horizontal="center" vertical="center" wrapText="1"/>
    </xf>
    <xf numFmtId="172" fontId="18" fillId="2" borderId="103" xfId="175" quotePrefix="1" applyNumberFormat="1" applyFont="1" applyFill="1" applyBorder="1" applyAlignment="1">
      <alignment horizontal="center" vertical="center"/>
    </xf>
    <xf numFmtId="0" fontId="3" fillId="48" borderId="109" xfId="1286" applyFont="1" applyFill="1" applyBorder="1" applyAlignment="1">
      <alignment horizontal="center" vertical="center" wrapText="1"/>
    </xf>
    <xf numFmtId="0" fontId="3" fillId="48" borderId="110" xfId="1286" applyFont="1" applyFill="1" applyBorder="1" applyAlignment="1">
      <alignment horizontal="center" vertical="center" wrapText="1"/>
    </xf>
    <xf numFmtId="172" fontId="3" fillId="0" borderId="110" xfId="175" applyNumberFormat="1" applyFont="1" applyBorder="1" applyAlignment="1">
      <alignment horizontal="center" vertical="center" wrapText="1"/>
    </xf>
    <xf numFmtId="172" fontId="69" fillId="45" borderId="110" xfId="175" applyNumberFormat="1" applyFont="1" applyFill="1" applyBorder="1" applyAlignment="1">
      <alignment horizontal="center" vertical="center" wrapText="1"/>
    </xf>
    <xf numFmtId="172" fontId="69" fillId="46" borderId="110" xfId="175" applyNumberFormat="1" applyFont="1" applyFill="1" applyBorder="1" applyAlignment="1">
      <alignment horizontal="center" vertical="center" wrapText="1"/>
    </xf>
    <xf numFmtId="172" fontId="69" fillId="47" borderId="110" xfId="175" applyNumberFormat="1" applyFont="1" applyFill="1" applyBorder="1" applyAlignment="1">
      <alignment horizontal="center" vertical="center" wrapText="1"/>
    </xf>
    <xf numFmtId="172" fontId="18" fillId="2" borderId="114" xfId="175" quotePrefix="1" applyNumberFormat="1" applyFont="1" applyFill="1" applyBorder="1" applyAlignment="1">
      <alignment horizontal="center" vertical="center"/>
    </xf>
    <xf numFmtId="0" fontId="9" fillId="0" borderId="115" xfId="1286" applyFont="1" applyFill="1" applyBorder="1" applyAlignment="1">
      <alignment horizontal="center" vertical="center" wrapText="1"/>
    </xf>
    <xf numFmtId="0" fontId="3" fillId="0" borderId="116" xfId="1286" applyFont="1" applyFill="1" applyBorder="1" applyAlignment="1">
      <alignment horizontal="center" vertical="center" wrapText="1"/>
    </xf>
    <xf numFmtId="165" fontId="3" fillId="0" borderId="99" xfId="114" applyNumberFormat="1" applyFont="1" applyFill="1" applyBorder="1" applyAlignment="1">
      <alignment horizontal="center" vertical="center" wrapText="1"/>
    </xf>
    <xf numFmtId="165" fontId="3" fillId="0" borderId="100" xfId="114" applyNumberFormat="1" applyFont="1" applyFill="1" applyBorder="1" applyAlignment="1">
      <alignment horizontal="center" vertical="center" wrapText="1"/>
    </xf>
    <xf numFmtId="165" fontId="3" fillId="0" borderId="101" xfId="114" applyNumberFormat="1" applyFont="1" applyFill="1" applyBorder="1" applyAlignment="1">
      <alignment horizontal="center" vertical="center" wrapText="1"/>
    </xf>
    <xf numFmtId="165" fontId="68" fillId="45" borderId="93" xfId="114" applyNumberFormat="1" applyFont="1" applyFill="1" applyBorder="1" applyAlignment="1">
      <alignment horizontal="center" vertical="center" wrapText="1"/>
    </xf>
    <xf numFmtId="165" fontId="68" fillId="50" borderId="94" xfId="114" applyNumberFormat="1" applyFont="1" applyFill="1" applyBorder="1" applyAlignment="1">
      <alignment horizontal="center" vertical="center" wrapText="1"/>
    </xf>
    <xf numFmtId="165" fontId="68" fillId="51" borderId="94" xfId="114" applyNumberFormat="1" applyFont="1" applyFill="1" applyBorder="1" applyAlignment="1">
      <alignment horizontal="center" vertical="center" wrapText="1"/>
    </xf>
    <xf numFmtId="165" fontId="68" fillId="2" borderId="117" xfId="114" quotePrefix="1" applyNumberFormat="1" applyFont="1" applyFill="1" applyBorder="1" applyAlignment="1">
      <alignment horizontal="center" vertical="center" wrapText="1"/>
    </xf>
    <xf numFmtId="0" fontId="3" fillId="0" borderId="113" xfId="1286" applyFont="1" applyFill="1" applyBorder="1" applyAlignment="1">
      <alignment horizontal="center" vertical="center" wrapText="1"/>
    </xf>
    <xf numFmtId="165" fontId="3" fillId="0" borderId="102" xfId="114" applyNumberFormat="1" applyFont="1" applyFill="1" applyBorder="1" applyAlignment="1">
      <alignment horizontal="center" vertical="center" wrapText="1"/>
    </xf>
    <xf numFmtId="165" fontId="3" fillId="0" borderId="95" xfId="114" applyNumberFormat="1" applyFont="1" applyFill="1" applyBorder="1" applyAlignment="1">
      <alignment horizontal="center" vertical="center" wrapText="1"/>
    </xf>
    <xf numFmtId="165" fontId="3" fillId="0" borderId="106" xfId="114" applyNumberFormat="1" applyFont="1" applyFill="1" applyBorder="1" applyAlignment="1">
      <alignment horizontal="center" vertical="center" wrapText="1"/>
    </xf>
    <xf numFmtId="165" fontId="68" fillId="45" borderId="102" xfId="114" applyNumberFormat="1" applyFont="1" applyFill="1" applyBorder="1" applyAlignment="1">
      <alignment horizontal="center" vertical="center" wrapText="1"/>
    </xf>
    <xf numFmtId="165" fontId="68" fillId="50" borderId="95" xfId="114" applyNumberFormat="1" applyFont="1" applyFill="1" applyBorder="1" applyAlignment="1">
      <alignment horizontal="center" vertical="center" wrapText="1"/>
    </xf>
    <xf numFmtId="165" fontId="68" fillId="51" borderId="95" xfId="114" applyNumberFormat="1" applyFont="1" applyFill="1" applyBorder="1" applyAlignment="1">
      <alignment horizontal="center" vertical="center" wrapText="1"/>
    </xf>
    <xf numFmtId="165" fontId="68" fillId="2" borderId="106" xfId="114" quotePrefix="1" applyNumberFormat="1" applyFont="1" applyFill="1" applyBorder="1" applyAlignment="1">
      <alignment horizontal="center" vertical="center" wrapText="1"/>
    </xf>
    <xf numFmtId="0" fontId="3" fillId="0" borderId="107" xfId="1286" applyFont="1" applyFill="1" applyBorder="1" applyAlignment="1">
      <alignment horizontal="center" vertical="center" wrapText="1"/>
    </xf>
    <xf numFmtId="0" fontId="3" fillId="0" borderId="115" xfId="1286" applyFont="1" applyFill="1" applyBorder="1" applyAlignment="1">
      <alignment horizontal="center" vertical="center" wrapText="1"/>
    </xf>
    <xf numFmtId="165" fontId="3" fillId="0" borderId="109" xfId="114" applyNumberFormat="1" applyFont="1" applyFill="1" applyBorder="1" applyAlignment="1">
      <alignment horizontal="center" vertical="center" wrapText="1"/>
    </xf>
    <xf numFmtId="165" fontId="3" fillId="0" borderId="110" xfId="114" applyNumberFormat="1" applyFont="1" applyFill="1" applyBorder="1" applyAlignment="1">
      <alignment horizontal="center" vertical="center" wrapText="1"/>
    </xf>
    <xf numFmtId="165" fontId="3" fillId="0" borderId="111" xfId="114" applyNumberFormat="1" applyFont="1" applyFill="1" applyBorder="1" applyAlignment="1">
      <alignment horizontal="center" vertical="center" wrapText="1"/>
    </xf>
    <xf numFmtId="10" fontId="68" fillId="45" borderId="109" xfId="114" applyNumberFormat="1" applyFont="1" applyFill="1" applyBorder="1" applyAlignment="1">
      <alignment horizontal="center" vertical="center" wrapText="1"/>
    </xf>
    <xf numFmtId="165" fontId="68" fillId="50" borderId="110" xfId="114" applyNumberFormat="1" applyFont="1" applyFill="1" applyBorder="1" applyAlignment="1">
      <alignment horizontal="center" vertical="center" wrapText="1"/>
    </xf>
    <xf numFmtId="165" fontId="68" fillId="47" borderId="110" xfId="114" applyNumberFormat="1" applyFont="1" applyFill="1" applyBorder="1" applyAlignment="1">
      <alignment horizontal="center" vertical="center" wrapText="1"/>
    </xf>
    <xf numFmtId="165" fontId="68" fillId="2" borderId="111" xfId="114" quotePrefix="1" applyNumberFormat="1" applyFont="1" applyFill="1" applyBorder="1" applyAlignment="1">
      <alignment horizontal="center" vertical="center" wrapText="1"/>
    </xf>
    <xf numFmtId="167" fontId="3" fillId="0" borderId="0" xfId="1286" applyNumberFormat="1" applyFont="1" applyAlignment="1">
      <alignment horizontal="center" vertical="center"/>
    </xf>
    <xf numFmtId="0" fontId="14" fillId="0" borderId="7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4" fillId="0" borderId="11" xfId="0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center" vertical="center" wrapText="1"/>
    </xf>
    <xf numFmtId="165" fontId="14" fillId="0" borderId="4" xfId="0" applyNumberFormat="1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center" vertical="center" wrapText="1"/>
    </xf>
    <xf numFmtId="0" fontId="14" fillId="0" borderId="50" xfId="0" applyFont="1" applyFill="1" applyBorder="1" applyAlignment="1">
      <alignment horizontal="center" vertical="center" wrapText="1"/>
    </xf>
    <xf numFmtId="0" fontId="14" fillId="0" borderId="51" xfId="0" applyFont="1" applyFill="1" applyBorder="1" applyAlignment="1">
      <alignment horizontal="center" vertical="center" wrapText="1"/>
    </xf>
    <xf numFmtId="165" fontId="14" fillId="0" borderId="3" xfId="0" applyNumberFormat="1" applyFont="1" applyFill="1" applyBorder="1" applyAlignment="1">
      <alignment horizontal="center" vertical="center" wrapText="1"/>
    </xf>
    <xf numFmtId="165" fontId="14" fillId="0" borderId="13" xfId="0" applyNumberFormat="1" applyFont="1" applyFill="1" applyBorder="1" applyAlignment="1">
      <alignment horizontal="center" vertical="center" wrapText="1"/>
    </xf>
    <xf numFmtId="165" fontId="14" fillId="0" borderId="5" xfId="0" applyNumberFormat="1" applyFont="1" applyFill="1" applyBorder="1" applyAlignment="1">
      <alignment horizontal="center" vertical="center" wrapText="1"/>
    </xf>
    <xf numFmtId="165" fontId="14" fillId="3" borderId="4" xfId="0" applyNumberFormat="1" applyFont="1" applyFill="1" applyBorder="1" applyAlignment="1">
      <alignment horizontal="center" vertical="center" wrapText="1"/>
    </xf>
    <xf numFmtId="0" fontId="14" fillId="0" borderId="49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7" fillId="2" borderId="0" xfId="0" applyFont="1" applyFill="1" applyAlignment="1">
      <alignment horizontal="center" vertical="center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10" fontId="14" fillId="0" borderId="4" xfId="0" applyNumberFormat="1" applyFont="1" applyFill="1" applyBorder="1" applyAlignment="1">
      <alignment horizontal="center" vertical="center" wrapText="1"/>
    </xf>
    <xf numFmtId="0" fontId="13" fillId="31" borderId="14" xfId="0" applyFont="1" applyFill="1" applyBorder="1" applyAlignment="1">
      <alignment horizontal="left" vertical="center" wrapText="1"/>
    </xf>
    <xf numFmtId="0" fontId="13" fillId="31" borderId="61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2" fillId="34" borderId="14" xfId="0" applyFont="1" applyFill="1" applyBorder="1" applyAlignment="1">
      <alignment horizontal="center" vertical="center" wrapText="1"/>
    </xf>
    <xf numFmtId="0" fontId="2" fillId="31" borderId="15" xfId="0" applyFont="1" applyFill="1" applyBorder="1" applyAlignment="1">
      <alignment horizontal="center" vertical="center"/>
    </xf>
    <xf numFmtId="0" fontId="2" fillId="31" borderId="31" xfId="0" applyFont="1" applyFill="1" applyBorder="1" applyAlignment="1">
      <alignment horizontal="center" vertical="center"/>
    </xf>
    <xf numFmtId="0" fontId="2" fillId="31" borderId="19" xfId="0" applyFont="1" applyFill="1" applyBorder="1" applyAlignment="1">
      <alignment horizontal="center" vertical="center"/>
    </xf>
    <xf numFmtId="0" fontId="19" fillId="31" borderId="14" xfId="0" applyFont="1" applyFill="1" applyBorder="1" applyAlignment="1">
      <alignment horizontal="center" vertical="center" wrapText="1"/>
    </xf>
    <xf numFmtId="0" fontId="17" fillId="31" borderId="15" xfId="0" applyFont="1" applyFill="1" applyBorder="1" applyAlignment="1">
      <alignment horizontal="center" vertical="center" wrapText="1"/>
    </xf>
    <xf numFmtId="0" fontId="17" fillId="31" borderId="31" xfId="0" applyFont="1" applyFill="1" applyBorder="1" applyAlignment="1">
      <alignment horizontal="center" vertical="center" wrapText="1"/>
    </xf>
    <xf numFmtId="0" fontId="17" fillId="31" borderId="19" xfId="0" applyFont="1" applyFill="1" applyBorder="1" applyAlignment="1">
      <alignment horizontal="center" vertical="center" wrapText="1"/>
    </xf>
    <xf numFmtId="0" fontId="14" fillId="5" borderId="14" xfId="0" applyFont="1" applyFill="1" applyBorder="1" applyAlignment="1">
      <alignment horizontal="center" vertical="center" wrapText="1"/>
    </xf>
    <xf numFmtId="0" fontId="14" fillId="0" borderId="14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left" vertical="center"/>
    </xf>
    <xf numFmtId="0" fontId="9" fillId="0" borderId="14" xfId="0" applyFont="1" applyBorder="1" applyAlignment="1">
      <alignment horizontal="left"/>
    </xf>
    <xf numFmtId="165" fontId="2" fillId="31" borderId="14" xfId="1" applyNumberFormat="1" applyFont="1" applyFill="1" applyBorder="1" applyAlignment="1">
      <alignment horizontal="center" vertical="center"/>
    </xf>
    <xf numFmtId="2" fontId="2" fillId="31" borderId="14" xfId="0" applyNumberFormat="1" applyFont="1" applyFill="1" applyBorder="1" applyAlignment="1">
      <alignment horizontal="center" vertical="center"/>
    </xf>
    <xf numFmtId="9" fontId="2" fillId="31" borderId="14" xfId="1" applyFont="1" applyFill="1" applyBorder="1" applyAlignment="1">
      <alignment horizontal="center" vertical="center"/>
    </xf>
    <xf numFmtId="166" fontId="2" fillId="31" borderId="14" xfId="1" applyNumberFormat="1" applyFont="1" applyFill="1" applyBorder="1" applyAlignment="1">
      <alignment horizontal="center"/>
    </xf>
    <xf numFmtId="0" fontId="28" fillId="31" borderId="14" xfId="0" applyFont="1" applyFill="1" applyBorder="1" applyAlignment="1">
      <alignment horizontal="center" vertical="center" wrapText="1"/>
    </xf>
    <xf numFmtId="0" fontId="12" fillId="31" borderId="14" xfId="0" applyFont="1" applyFill="1" applyBorder="1" applyAlignment="1">
      <alignment horizontal="center" vertical="center" wrapText="1"/>
    </xf>
    <xf numFmtId="0" fontId="11" fillId="31" borderId="14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4" xfId="0" applyBorder="1" applyAlignment="1">
      <alignment horizontal="center"/>
    </xf>
    <xf numFmtId="0" fontId="24" fillId="31" borderId="14" xfId="0" applyFont="1" applyFill="1" applyBorder="1" applyAlignment="1">
      <alignment horizontal="center" vertical="center"/>
    </xf>
    <xf numFmtId="0" fontId="0" fillId="31" borderId="14" xfId="0" applyFill="1" applyBorder="1" applyAlignment="1">
      <alignment horizontal="center"/>
    </xf>
    <xf numFmtId="0" fontId="0" fillId="31" borderId="14" xfId="0" applyFill="1" applyBorder="1" applyAlignment="1">
      <alignment horizontal="center" vertical="center"/>
    </xf>
    <xf numFmtId="2" fontId="2" fillId="31" borderId="14" xfId="0" applyNumberFormat="1" applyFont="1" applyFill="1" applyBorder="1" applyAlignment="1">
      <alignment horizontal="center"/>
    </xf>
    <xf numFmtId="165" fontId="2" fillId="31" borderId="14" xfId="1" applyNumberFormat="1" applyFont="1" applyFill="1" applyBorder="1" applyAlignment="1">
      <alignment horizontal="center"/>
    </xf>
    <xf numFmtId="0" fontId="24" fillId="31" borderId="14" xfId="0" applyFont="1" applyFill="1" applyBorder="1" applyAlignment="1">
      <alignment horizontal="left" vertical="center"/>
    </xf>
    <xf numFmtId="0" fontId="13" fillId="31" borderId="56" xfId="0" applyFont="1" applyFill="1" applyBorder="1" applyAlignment="1">
      <alignment horizontal="center" vertical="center" wrapText="1"/>
    </xf>
    <xf numFmtId="0" fontId="13" fillId="31" borderId="58" xfId="0" applyFont="1" applyFill="1" applyBorder="1" applyAlignment="1">
      <alignment horizontal="center" vertical="center" wrapText="1"/>
    </xf>
    <xf numFmtId="0" fontId="13" fillId="31" borderId="60" xfId="0" applyFont="1" applyFill="1" applyBorder="1" applyAlignment="1">
      <alignment horizontal="center" vertical="center" wrapText="1"/>
    </xf>
    <xf numFmtId="0" fontId="19" fillId="4" borderId="14" xfId="0" applyFont="1" applyFill="1" applyBorder="1" applyAlignment="1">
      <alignment horizontal="center" vertical="center"/>
    </xf>
    <xf numFmtId="0" fontId="2" fillId="31" borderId="14" xfId="0" applyFont="1" applyFill="1" applyBorder="1" applyAlignment="1">
      <alignment horizontal="center" vertical="center" wrapText="1"/>
    </xf>
    <xf numFmtId="0" fontId="19" fillId="5" borderId="15" xfId="0" applyFont="1" applyFill="1" applyBorder="1" applyAlignment="1">
      <alignment vertical="center"/>
    </xf>
    <xf numFmtId="165" fontId="20" fillId="0" borderId="14" xfId="0" applyNumberFormat="1" applyFont="1" applyBorder="1" applyAlignment="1">
      <alignment horizontal="center" vertical="center"/>
    </xf>
    <xf numFmtId="0" fontId="2" fillId="5" borderId="14" xfId="0" applyFont="1" applyFill="1" applyBorder="1" applyAlignment="1">
      <alignment horizontal="center" vertical="center"/>
    </xf>
    <xf numFmtId="0" fontId="13" fillId="31" borderId="65" xfId="0" applyFont="1" applyFill="1" applyBorder="1" applyAlignment="1">
      <alignment horizontal="center" vertical="center" wrapText="1"/>
    </xf>
    <xf numFmtId="0" fontId="19" fillId="5" borderId="23" xfId="0" applyFont="1" applyFill="1" applyBorder="1" applyAlignment="1">
      <alignment vertical="center" wrapText="1"/>
    </xf>
    <xf numFmtId="0" fontId="19" fillId="5" borderId="22" xfId="0" applyFont="1" applyFill="1" applyBorder="1" applyAlignment="1">
      <alignment vertical="center" wrapText="1"/>
    </xf>
    <xf numFmtId="0" fontId="19" fillId="5" borderId="16" xfId="0" applyFont="1" applyFill="1" applyBorder="1" applyAlignment="1">
      <alignment vertical="center" wrapText="1"/>
    </xf>
    <xf numFmtId="0" fontId="19" fillId="5" borderId="23" xfId="0" applyFont="1" applyFill="1" applyBorder="1" applyAlignment="1">
      <alignment horizontal="left" vertical="center" wrapText="1"/>
    </xf>
    <xf numFmtId="0" fontId="19" fillId="5" borderId="16" xfId="0" applyFont="1" applyFill="1" applyBorder="1" applyAlignment="1">
      <alignment horizontal="left" vertical="center" wrapText="1"/>
    </xf>
    <xf numFmtId="0" fontId="17" fillId="4" borderId="42" xfId="0" applyFont="1" applyFill="1" applyBorder="1" applyAlignment="1">
      <alignment horizontal="center" vertical="center" wrapText="1"/>
    </xf>
    <xf numFmtId="0" fontId="17" fillId="4" borderId="0" xfId="0" applyFont="1" applyFill="1" applyBorder="1" applyAlignment="1">
      <alignment horizontal="center" vertical="center" wrapText="1"/>
    </xf>
    <xf numFmtId="0" fontId="17" fillId="4" borderId="46" xfId="0" applyFont="1" applyFill="1" applyBorder="1" applyAlignment="1">
      <alignment horizontal="center" vertical="center" wrapText="1"/>
    </xf>
    <xf numFmtId="0" fontId="0" fillId="0" borderId="28" xfId="0" applyBorder="1" applyAlignment="1">
      <alignment horizontal="center"/>
    </xf>
    <xf numFmtId="0" fontId="0" fillId="0" borderId="18" xfId="0" applyBorder="1" applyAlignment="1">
      <alignment horizontal="center"/>
    </xf>
    <xf numFmtId="0" fontId="2" fillId="31" borderId="14" xfId="0" applyFont="1" applyFill="1" applyBorder="1" applyAlignment="1">
      <alignment horizontal="center" vertical="center"/>
    </xf>
    <xf numFmtId="0" fontId="3" fillId="31" borderId="23" xfId="0" applyFont="1" applyFill="1" applyBorder="1" applyAlignment="1">
      <alignment horizontal="center"/>
    </xf>
    <xf numFmtId="0" fontId="3" fillId="31" borderId="14" xfId="0" applyFont="1" applyFill="1" applyBorder="1" applyAlignment="1">
      <alignment horizontal="center"/>
    </xf>
    <xf numFmtId="0" fontId="26" fillId="31" borderId="62" xfId="0" applyFont="1" applyFill="1" applyBorder="1" applyAlignment="1">
      <alignment horizontal="left" vertical="center" wrapText="1"/>
    </xf>
    <xf numFmtId="0" fontId="26" fillId="31" borderId="26" xfId="0" applyFont="1" applyFill="1" applyBorder="1" applyAlignment="1">
      <alignment horizontal="left" vertical="center" wrapText="1"/>
    </xf>
    <xf numFmtId="0" fontId="26" fillId="31" borderId="66" xfId="0" applyFont="1" applyFill="1" applyBorder="1" applyAlignment="1">
      <alignment horizontal="left" vertical="center" wrapText="1"/>
    </xf>
    <xf numFmtId="0" fontId="26" fillId="31" borderId="27" xfId="0" applyFont="1" applyFill="1" applyBorder="1" applyAlignment="1">
      <alignment horizontal="left" vertical="center" wrapText="1"/>
    </xf>
    <xf numFmtId="0" fontId="27" fillId="31" borderId="68" xfId="0" applyFont="1" applyFill="1" applyBorder="1" applyAlignment="1">
      <alignment horizontal="left" vertical="center"/>
    </xf>
    <xf numFmtId="0" fontId="27" fillId="31" borderId="69" xfId="0" applyFont="1" applyFill="1" applyBorder="1" applyAlignment="1">
      <alignment horizontal="left" vertical="center"/>
    </xf>
    <xf numFmtId="0" fontId="12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0" fillId="4" borderId="14" xfId="0" applyFill="1" applyBorder="1" applyAlignment="1">
      <alignment horizontal="center"/>
    </xf>
    <xf numFmtId="0" fontId="14" fillId="0" borderId="15" xfId="0" applyFont="1" applyFill="1" applyBorder="1" applyAlignment="1">
      <alignment horizontal="left" vertical="center" wrapText="1"/>
    </xf>
    <xf numFmtId="0" fontId="14" fillId="0" borderId="19" xfId="0" applyFont="1" applyFill="1" applyBorder="1" applyAlignment="1">
      <alignment horizontal="left" vertical="center" wrapText="1"/>
    </xf>
    <xf numFmtId="0" fontId="14" fillId="5" borderId="15" xfId="0" applyFont="1" applyFill="1" applyBorder="1" applyAlignment="1">
      <alignment horizontal="left" vertical="center" wrapText="1"/>
    </xf>
    <xf numFmtId="0" fontId="14" fillId="5" borderId="19" xfId="0" applyFont="1" applyFill="1" applyBorder="1" applyAlignment="1">
      <alignment horizontal="left" vertical="center" wrapText="1"/>
    </xf>
    <xf numFmtId="0" fontId="28" fillId="4" borderId="14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/>
    </xf>
    <xf numFmtId="0" fontId="15" fillId="8" borderId="14" xfId="0" applyFont="1" applyFill="1" applyBorder="1" applyAlignment="1">
      <alignment horizontal="center" vertical="center"/>
    </xf>
    <xf numFmtId="0" fontId="19" fillId="5" borderId="14" xfId="0" applyFont="1" applyFill="1" applyBorder="1" applyAlignment="1">
      <alignment horizontal="center" vertical="center" wrapText="1"/>
    </xf>
    <xf numFmtId="0" fontId="2" fillId="0" borderId="76" xfId="0" applyFont="1" applyBorder="1" applyAlignment="1">
      <alignment horizontal="center" vertical="center"/>
    </xf>
    <xf numFmtId="0" fontId="2" fillId="0" borderId="79" xfId="0" applyFont="1" applyBorder="1" applyAlignment="1">
      <alignment horizontal="center" vertical="center"/>
    </xf>
    <xf numFmtId="0" fontId="2" fillId="5" borderId="76" xfId="0" applyFont="1" applyFill="1" applyBorder="1" applyAlignment="1">
      <alignment horizontal="center" vertical="center"/>
    </xf>
    <xf numFmtId="0" fontId="2" fillId="5" borderId="79" xfId="0" applyFont="1" applyFill="1" applyBorder="1" applyAlignment="1">
      <alignment horizontal="center" vertical="center"/>
    </xf>
    <xf numFmtId="0" fontId="2" fillId="5" borderId="81" xfId="0" applyFont="1" applyFill="1" applyBorder="1" applyAlignment="1">
      <alignment horizontal="center" vertical="center"/>
    </xf>
    <xf numFmtId="0" fontId="2" fillId="38" borderId="76" xfId="0" applyFont="1" applyFill="1" applyBorder="1" applyAlignment="1">
      <alignment horizontal="center" vertical="center"/>
    </xf>
    <xf numFmtId="0" fontId="2" fillId="38" borderId="79" xfId="0" applyFont="1" applyFill="1" applyBorder="1" applyAlignment="1">
      <alignment horizontal="center" vertical="center"/>
    </xf>
    <xf numFmtId="0" fontId="2" fillId="39" borderId="4" xfId="0" applyFont="1" applyFill="1" applyBorder="1" applyAlignment="1">
      <alignment horizontal="center" vertical="center"/>
    </xf>
    <xf numFmtId="0" fontId="51" fillId="5" borderId="3" xfId="1286" applyFont="1" applyFill="1" applyBorder="1" applyAlignment="1">
      <alignment horizontal="center" vertical="center" wrapText="1"/>
    </xf>
    <xf numFmtId="0" fontId="51" fillId="5" borderId="13" xfId="1286" applyFont="1" applyFill="1" applyBorder="1" applyAlignment="1">
      <alignment horizontal="center" vertical="center" wrapText="1"/>
    </xf>
    <xf numFmtId="0" fontId="51" fillId="5" borderId="5" xfId="1286" applyFont="1" applyFill="1" applyBorder="1" applyAlignment="1">
      <alignment horizontal="center" vertical="center" wrapText="1"/>
    </xf>
    <xf numFmtId="0" fontId="51" fillId="5" borderId="4" xfId="1286" applyFont="1" applyFill="1" applyBorder="1" applyAlignment="1">
      <alignment horizontal="center" vertical="center" wrapText="1"/>
    </xf>
    <xf numFmtId="0" fontId="24" fillId="41" borderId="4" xfId="1286" applyFont="1" applyFill="1" applyBorder="1" applyAlignment="1">
      <alignment horizontal="center" vertical="center" wrapText="1"/>
    </xf>
    <xf numFmtId="0" fontId="24" fillId="42" borderId="4" xfId="1286" applyFont="1" applyFill="1" applyBorder="1" applyAlignment="1">
      <alignment horizontal="center" vertical="center" wrapText="1"/>
    </xf>
    <xf numFmtId="0" fontId="24" fillId="2" borderId="4" xfId="1286" applyFont="1" applyFill="1" applyBorder="1" applyAlignment="1">
      <alignment horizontal="center" vertical="center" wrapText="1"/>
    </xf>
    <xf numFmtId="0" fontId="3" fillId="5" borderId="4" xfId="1286" applyFont="1" applyFill="1" applyBorder="1" applyAlignment="1">
      <alignment horizontal="center" vertical="center" wrapText="1"/>
    </xf>
    <xf numFmtId="0" fontId="3" fillId="5" borderId="3" xfId="1286" applyFont="1" applyFill="1" applyBorder="1" applyAlignment="1">
      <alignment horizontal="center" vertical="center" wrapText="1"/>
    </xf>
    <xf numFmtId="0" fontId="3" fillId="5" borderId="13" xfId="1286" applyFont="1" applyFill="1" applyBorder="1" applyAlignment="1">
      <alignment horizontal="center" vertical="center" wrapText="1"/>
    </xf>
    <xf numFmtId="0" fontId="3" fillId="5" borderId="5" xfId="1286" applyFont="1" applyFill="1" applyBorder="1" applyAlignment="1">
      <alignment horizontal="center" vertical="center" wrapText="1"/>
    </xf>
    <xf numFmtId="0" fontId="9" fillId="41" borderId="4" xfId="1286" applyFont="1" applyFill="1" applyBorder="1" applyAlignment="1">
      <alignment horizontal="center" vertical="center" wrapText="1"/>
    </xf>
    <xf numFmtId="0" fontId="9" fillId="42" borderId="4" xfId="1286" applyFont="1" applyFill="1" applyBorder="1" applyAlignment="1">
      <alignment horizontal="center" vertical="center" wrapText="1"/>
    </xf>
    <xf numFmtId="0" fontId="9" fillId="2" borderId="4" xfId="1286" applyFont="1" applyFill="1" applyBorder="1" applyAlignment="1">
      <alignment horizontal="center" vertical="center" wrapText="1"/>
    </xf>
    <xf numFmtId="0" fontId="24" fillId="0" borderId="0" xfId="1286" applyFont="1" applyAlignment="1">
      <alignment horizontal="center" vertical="center" wrapText="1"/>
    </xf>
    <xf numFmtId="167" fontId="3" fillId="0" borderId="3" xfId="1286" applyNumberFormat="1" applyFont="1" applyFill="1" applyBorder="1" applyAlignment="1" applyProtection="1">
      <alignment horizontal="center" vertical="center"/>
      <protection locked="0"/>
    </xf>
    <xf numFmtId="167" fontId="3" fillId="0" borderId="13" xfId="1286" applyNumberFormat="1" applyFont="1" applyFill="1" applyBorder="1" applyAlignment="1" applyProtection="1">
      <alignment horizontal="center" vertical="center"/>
      <protection locked="0"/>
    </xf>
    <xf numFmtId="167" fontId="3" fillId="0" borderId="5" xfId="1286" applyNumberFormat="1" applyFont="1" applyFill="1" applyBorder="1" applyAlignment="1" applyProtection="1">
      <alignment horizontal="center" vertical="center"/>
      <protection locked="0"/>
    </xf>
    <xf numFmtId="0" fontId="24" fillId="41" borderId="1" xfId="1286" applyFont="1" applyFill="1" applyBorder="1" applyAlignment="1">
      <alignment horizontal="center" vertical="center" wrapText="1"/>
    </xf>
    <xf numFmtId="0" fontId="24" fillId="41" borderId="2" xfId="1286" applyFont="1" applyFill="1" applyBorder="1" applyAlignment="1">
      <alignment horizontal="center" vertical="center" wrapText="1"/>
    </xf>
    <xf numFmtId="0" fontId="24" fillId="41" borderId="12" xfId="1286" applyFont="1" applyFill="1" applyBorder="1" applyAlignment="1">
      <alignment horizontal="center" vertical="center" wrapText="1"/>
    </xf>
    <xf numFmtId="0" fontId="24" fillId="42" borderId="1" xfId="1286" applyFont="1" applyFill="1" applyBorder="1" applyAlignment="1">
      <alignment horizontal="center" vertical="center" wrapText="1"/>
    </xf>
    <xf numFmtId="0" fontId="24" fillId="42" borderId="2" xfId="1286" applyFont="1" applyFill="1" applyBorder="1" applyAlignment="1">
      <alignment horizontal="center" vertical="center" wrapText="1"/>
    </xf>
    <xf numFmtId="0" fontId="24" fillId="42" borderId="12" xfId="1286" applyFont="1" applyFill="1" applyBorder="1" applyAlignment="1">
      <alignment horizontal="center" vertical="center" wrapText="1"/>
    </xf>
    <xf numFmtId="0" fontId="24" fillId="2" borderId="1" xfId="1286" applyFont="1" applyFill="1" applyBorder="1" applyAlignment="1">
      <alignment horizontal="center" vertical="center" wrapText="1"/>
    </xf>
    <xf numFmtId="0" fontId="24" fillId="2" borderId="2" xfId="1286" applyFont="1" applyFill="1" applyBorder="1" applyAlignment="1">
      <alignment horizontal="center" vertical="center" wrapText="1"/>
    </xf>
    <xf numFmtId="0" fontId="24" fillId="2" borderId="12" xfId="1286" applyFont="1" applyFill="1" applyBorder="1" applyAlignment="1">
      <alignment horizontal="center" vertical="center" wrapText="1"/>
    </xf>
    <xf numFmtId="0" fontId="9" fillId="49" borderId="97" xfId="1286" applyFont="1" applyFill="1" applyBorder="1" applyAlignment="1">
      <alignment horizontal="center" vertical="center" wrapText="1"/>
    </xf>
    <xf numFmtId="0" fontId="9" fillId="49" borderId="104" xfId="1286" applyFont="1" applyFill="1" applyBorder="1" applyAlignment="1">
      <alignment horizontal="center" vertical="center" wrapText="1"/>
    </xf>
    <xf numFmtId="0" fontId="9" fillId="49" borderId="107" xfId="1286" applyFont="1" applyFill="1" applyBorder="1" applyAlignment="1">
      <alignment horizontal="center" vertical="center" wrapText="1"/>
    </xf>
    <xf numFmtId="0" fontId="24" fillId="2" borderId="83" xfId="1286" applyFont="1" applyFill="1" applyBorder="1" applyAlignment="1">
      <alignment horizontal="center" vertical="center" wrapText="1"/>
    </xf>
    <xf numFmtId="0" fontId="24" fillId="2" borderId="84" xfId="1286" applyFont="1" applyFill="1" applyBorder="1" applyAlignment="1">
      <alignment horizontal="center" vertical="center" wrapText="1"/>
    </xf>
    <xf numFmtId="0" fontId="24" fillId="2" borderId="85" xfId="1286" applyFont="1" applyFill="1" applyBorder="1" applyAlignment="1">
      <alignment horizontal="center" vertical="center" wrapText="1"/>
    </xf>
  </cellXfs>
  <cellStyles count="1287">
    <cellStyle name="20 % - Accent1 2" xfId="4"/>
    <cellStyle name="20 % - Accent2 2" xfId="5"/>
    <cellStyle name="20 % - Accent3 2" xfId="6"/>
    <cellStyle name="20 % - Accent4 2" xfId="7"/>
    <cellStyle name="20 % - Accent5 2" xfId="8"/>
    <cellStyle name="20 % - Accent6 2" xfId="9"/>
    <cellStyle name="40 % - Accent1 2" xfId="10"/>
    <cellStyle name="40 % - Accent2 2" xfId="11"/>
    <cellStyle name="40 % - Accent3 2" xfId="12"/>
    <cellStyle name="40 % - Accent4 2" xfId="13"/>
    <cellStyle name="40 % - Accent5 2" xfId="14"/>
    <cellStyle name="40 % - Accent6 2" xfId="15"/>
    <cellStyle name="60 % - Accent1 2" xfId="16"/>
    <cellStyle name="60 % - Accent2 2" xfId="17"/>
    <cellStyle name="60 % - Accent3 2" xfId="18"/>
    <cellStyle name="60 % - Accent4 2" xfId="19"/>
    <cellStyle name="60 % - Accent5 2" xfId="20"/>
    <cellStyle name="60 % - Accent6 2" xfId="21"/>
    <cellStyle name="Accent1 2" xfId="22"/>
    <cellStyle name="Accent2 2" xfId="23"/>
    <cellStyle name="Accent3 2" xfId="24"/>
    <cellStyle name="Accent4 2" xfId="25"/>
    <cellStyle name="Accent5 2" xfId="26"/>
    <cellStyle name="Accent6 2" xfId="27"/>
    <cellStyle name="Avertissement 2" xfId="28"/>
    <cellStyle name="Calcul 10" xfId="342"/>
    <cellStyle name="Calcul 10 2" xfId="343"/>
    <cellStyle name="Calcul 10 2 2" xfId="344"/>
    <cellStyle name="Calcul 10 2 3" xfId="345"/>
    <cellStyle name="Calcul 10 3" xfId="346"/>
    <cellStyle name="Calcul 10 3 2" xfId="347"/>
    <cellStyle name="Calcul 10 4" xfId="348"/>
    <cellStyle name="Calcul 10 5" xfId="349"/>
    <cellStyle name="Calcul 11" xfId="350"/>
    <cellStyle name="Calcul 11 2" xfId="351"/>
    <cellStyle name="Calcul 11 2 2" xfId="352"/>
    <cellStyle name="Calcul 11 3" xfId="353"/>
    <cellStyle name="Calcul 11 3 2" xfId="354"/>
    <cellStyle name="Calcul 11 4" xfId="355"/>
    <cellStyle name="Calcul 12" xfId="356"/>
    <cellStyle name="Calcul 12 2" xfId="357"/>
    <cellStyle name="Calcul 2" xfId="29"/>
    <cellStyle name="Calcul 2 10" xfId="358"/>
    <cellStyle name="Calcul 2 11" xfId="359"/>
    <cellStyle name="Calcul 2 12" xfId="360"/>
    <cellStyle name="Calcul 2 2" xfId="30"/>
    <cellStyle name="Calcul 2 2 2" xfId="361"/>
    <cellStyle name="Calcul 2 2 2 2" xfId="362"/>
    <cellStyle name="Calcul 2 2 2 3" xfId="363"/>
    <cellStyle name="Calcul 2 2 2 4" xfId="364"/>
    <cellStyle name="Calcul 2 2 3" xfId="365"/>
    <cellStyle name="Calcul 2 2 3 2" xfId="366"/>
    <cellStyle name="Calcul 2 2 3 3" xfId="367"/>
    <cellStyle name="Calcul 2 2 4" xfId="368"/>
    <cellStyle name="Calcul 2 2 4 2" xfId="369"/>
    <cellStyle name="Calcul 2 2 5" xfId="370"/>
    <cellStyle name="Calcul 2 2 6" xfId="371"/>
    <cellStyle name="Calcul 2 3" xfId="31"/>
    <cellStyle name="Calcul 2 3 2" xfId="372"/>
    <cellStyle name="Calcul 2 3 3" xfId="373"/>
    <cellStyle name="Calcul 2 3 4" xfId="374"/>
    <cellStyle name="Calcul 2 4" xfId="32"/>
    <cellStyle name="Calcul 2 4 2" xfId="375"/>
    <cellStyle name="Calcul 2 4 3" xfId="376"/>
    <cellStyle name="Calcul 2 4 4" xfId="377"/>
    <cellStyle name="Calcul 2 5" xfId="176"/>
    <cellStyle name="Calcul 2 5 2" xfId="378"/>
    <cellStyle name="Calcul 2 5 3" xfId="379"/>
    <cellStyle name="Calcul 2 5 4" xfId="380"/>
    <cellStyle name="Calcul 2 6" xfId="177"/>
    <cellStyle name="Calcul 2 6 2" xfId="381"/>
    <cellStyle name="Calcul 2 7" xfId="178"/>
    <cellStyle name="Calcul 2 7 2" xfId="382"/>
    <cellStyle name="Calcul 2 8" xfId="179"/>
    <cellStyle name="Calcul 2 8 2" xfId="383"/>
    <cellStyle name="Calcul 2 9" xfId="384"/>
    <cellStyle name="Calcul 2 9 2" xfId="385"/>
    <cellStyle name="Calcul 3" xfId="33"/>
    <cellStyle name="Calcul 3 10" xfId="386"/>
    <cellStyle name="Calcul 3 11" xfId="387"/>
    <cellStyle name="Calcul 3 12" xfId="388"/>
    <cellStyle name="Calcul 3 2" xfId="34"/>
    <cellStyle name="Calcul 3 2 2" xfId="389"/>
    <cellStyle name="Calcul 3 2 2 2" xfId="390"/>
    <cellStyle name="Calcul 3 2 2 3" xfId="391"/>
    <cellStyle name="Calcul 3 2 2 4" xfId="392"/>
    <cellStyle name="Calcul 3 2 3" xfId="393"/>
    <cellStyle name="Calcul 3 2 3 2" xfId="394"/>
    <cellStyle name="Calcul 3 2 3 3" xfId="395"/>
    <cellStyle name="Calcul 3 2 4" xfId="396"/>
    <cellStyle name="Calcul 3 2 4 2" xfId="397"/>
    <cellStyle name="Calcul 3 2 5" xfId="398"/>
    <cellStyle name="Calcul 3 2 6" xfId="399"/>
    <cellStyle name="Calcul 3 3" xfId="35"/>
    <cellStyle name="Calcul 3 3 2" xfId="400"/>
    <cellStyle name="Calcul 3 3 3" xfId="401"/>
    <cellStyle name="Calcul 3 3 4" xfId="402"/>
    <cellStyle name="Calcul 3 4" xfId="36"/>
    <cellStyle name="Calcul 3 4 2" xfId="403"/>
    <cellStyle name="Calcul 3 4 3" xfId="404"/>
    <cellStyle name="Calcul 3 4 4" xfId="405"/>
    <cellStyle name="Calcul 3 5" xfId="180"/>
    <cellStyle name="Calcul 3 5 2" xfId="406"/>
    <cellStyle name="Calcul 3 5 3" xfId="407"/>
    <cellStyle name="Calcul 3 5 4" xfId="408"/>
    <cellStyle name="Calcul 3 6" xfId="181"/>
    <cellStyle name="Calcul 3 6 2" xfId="409"/>
    <cellStyle name="Calcul 3 7" xfId="182"/>
    <cellStyle name="Calcul 3 7 2" xfId="410"/>
    <cellStyle name="Calcul 3 8" xfId="183"/>
    <cellStyle name="Calcul 3 8 2" xfId="411"/>
    <cellStyle name="Calcul 3 9" xfId="412"/>
    <cellStyle name="Calcul 3 9 2" xfId="413"/>
    <cellStyle name="Calcul 4" xfId="37"/>
    <cellStyle name="Calcul 4 10" xfId="414"/>
    <cellStyle name="Calcul 4 11" xfId="415"/>
    <cellStyle name="Calcul 4 12" xfId="416"/>
    <cellStyle name="Calcul 4 2" xfId="38"/>
    <cellStyle name="Calcul 4 2 2" xfId="417"/>
    <cellStyle name="Calcul 4 2 2 2" xfId="418"/>
    <cellStyle name="Calcul 4 2 2 3" xfId="419"/>
    <cellStyle name="Calcul 4 2 2 4" xfId="420"/>
    <cellStyle name="Calcul 4 2 3" xfId="421"/>
    <cellStyle name="Calcul 4 2 3 2" xfId="422"/>
    <cellStyle name="Calcul 4 2 3 3" xfId="423"/>
    <cellStyle name="Calcul 4 2 4" xfId="424"/>
    <cellStyle name="Calcul 4 2 4 2" xfId="425"/>
    <cellStyle name="Calcul 4 2 5" xfId="426"/>
    <cellStyle name="Calcul 4 2 6" xfId="427"/>
    <cellStyle name="Calcul 4 3" xfId="39"/>
    <cellStyle name="Calcul 4 3 2" xfId="428"/>
    <cellStyle name="Calcul 4 3 3" xfId="429"/>
    <cellStyle name="Calcul 4 3 4" xfId="430"/>
    <cellStyle name="Calcul 4 4" xfId="40"/>
    <cellStyle name="Calcul 4 4 2" xfId="431"/>
    <cellStyle name="Calcul 4 4 3" xfId="432"/>
    <cellStyle name="Calcul 4 4 4" xfId="433"/>
    <cellStyle name="Calcul 4 5" xfId="184"/>
    <cellStyle name="Calcul 4 5 2" xfId="434"/>
    <cellStyle name="Calcul 4 5 3" xfId="435"/>
    <cellStyle name="Calcul 4 5 4" xfId="436"/>
    <cellStyle name="Calcul 4 6" xfId="185"/>
    <cellStyle name="Calcul 4 6 2" xfId="437"/>
    <cellStyle name="Calcul 4 7" xfId="186"/>
    <cellStyle name="Calcul 4 7 2" xfId="438"/>
    <cellStyle name="Calcul 4 8" xfId="187"/>
    <cellStyle name="Calcul 4 8 2" xfId="439"/>
    <cellStyle name="Calcul 4 9" xfId="440"/>
    <cellStyle name="Calcul 4 9 2" xfId="441"/>
    <cellStyle name="Calcul 5" xfId="41"/>
    <cellStyle name="Calcul 5 10" xfId="442"/>
    <cellStyle name="Calcul 5 11" xfId="443"/>
    <cellStyle name="Calcul 5 12" xfId="444"/>
    <cellStyle name="Calcul 5 2" xfId="42"/>
    <cellStyle name="Calcul 5 2 2" xfId="445"/>
    <cellStyle name="Calcul 5 2 3" xfId="446"/>
    <cellStyle name="Calcul 5 2 4" xfId="447"/>
    <cellStyle name="Calcul 5 3" xfId="43"/>
    <cellStyle name="Calcul 5 3 2" xfId="448"/>
    <cellStyle name="Calcul 5 3 3" xfId="449"/>
    <cellStyle name="Calcul 5 3 4" xfId="450"/>
    <cellStyle name="Calcul 5 4" xfId="44"/>
    <cellStyle name="Calcul 5 4 2" xfId="451"/>
    <cellStyle name="Calcul 5 4 3" xfId="452"/>
    <cellStyle name="Calcul 5 4 4" xfId="453"/>
    <cellStyle name="Calcul 5 5" xfId="188"/>
    <cellStyle name="Calcul 5 5 2" xfId="454"/>
    <cellStyle name="Calcul 5 6" xfId="189"/>
    <cellStyle name="Calcul 5 6 2" xfId="455"/>
    <cellStyle name="Calcul 5 7" xfId="190"/>
    <cellStyle name="Calcul 5 7 2" xfId="456"/>
    <cellStyle name="Calcul 5 8" xfId="191"/>
    <cellStyle name="Calcul 5 8 2" xfId="457"/>
    <cellStyle name="Calcul 5 9" xfId="458"/>
    <cellStyle name="Calcul 5 9 2" xfId="459"/>
    <cellStyle name="Calcul 6" xfId="45"/>
    <cellStyle name="Calcul 6 10" xfId="460"/>
    <cellStyle name="Calcul 6 11" xfId="461"/>
    <cellStyle name="Calcul 6 12" xfId="462"/>
    <cellStyle name="Calcul 6 2" xfId="46"/>
    <cellStyle name="Calcul 6 2 2" xfId="463"/>
    <cellStyle name="Calcul 6 2 3" xfId="464"/>
    <cellStyle name="Calcul 6 2 4" xfId="465"/>
    <cellStyle name="Calcul 6 3" xfId="47"/>
    <cellStyle name="Calcul 6 3 2" xfId="466"/>
    <cellStyle name="Calcul 6 3 3" xfId="467"/>
    <cellStyle name="Calcul 6 3 4" xfId="468"/>
    <cellStyle name="Calcul 6 4" xfId="48"/>
    <cellStyle name="Calcul 6 4 2" xfId="469"/>
    <cellStyle name="Calcul 6 4 3" xfId="470"/>
    <cellStyle name="Calcul 6 4 4" xfId="471"/>
    <cellStyle name="Calcul 6 5" xfId="192"/>
    <cellStyle name="Calcul 6 5 2" xfId="472"/>
    <cellStyle name="Calcul 6 6" xfId="193"/>
    <cellStyle name="Calcul 6 6 2" xfId="473"/>
    <cellStyle name="Calcul 6 7" xfId="194"/>
    <cellStyle name="Calcul 6 7 2" xfId="474"/>
    <cellStyle name="Calcul 6 8" xfId="195"/>
    <cellStyle name="Calcul 6 8 2" xfId="475"/>
    <cellStyle name="Calcul 6 9" xfId="476"/>
    <cellStyle name="Calcul 6 9 2" xfId="477"/>
    <cellStyle name="Calcul 7" xfId="49"/>
    <cellStyle name="Calcul 7 10" xfId="478"/>
    <cellStyle name="Calcul 7 11" xfId="479"/>
    <cellStyle name="Calcul 7 12" xfId="480"/>
    <cellStyle name="Calcul 7 2" xfId="50"/>
    <cellStyle name="Calcul 7 2 2" xfId="481"/>
    <cellStyle name="Calcul 7 2 3" xfId="482"/>
    <cellStyle name="Calcul 7 2 4" xfId="483"/>
    <cellStyle name="Calcul 7 3" xfId="51"/>
    <cellStyle name="Calcul 7 3 2" xfId="484"/>
    <cellStyle name="Calcul 7 3 3" xfId="485"/>
    <cellStyle name="Calcul 7 3 4" xfId="486"/>
    <cellStyle name="Calcul 7 4" xfId="52"/>
    <cellStyle name="Calcul 7 4 2" xfId="487"/>
    <cellStyle name="Calcul 7 4 3" xfId="488"/>
    <cellStyle name="Calcul 7 4 4" xfId="489"/>
    <cellStyle name="Calcul 7 5" xfId="196"/>
    <cellStyle name="Calcul 7 5 2" xfId="490"/>
    <cellStyle name="Calcul 7 6" xfId="197"/>
    <cellStyle name="Calcul 7 6 2" xfId="491"/>
    <cellStyle name="Calcul 7 7" xfId="198"/>
    <cellStyle name="Calcul 7 7 2" xfId="492"/>
    <cellStyle name="Calcul 7 8" xfId="199"/>
    <cellStyle name="Calcul 7 8 2" xfId="493"/>
    <cellStyle name="Calcul 7 9" xfId="494"/>
    <cellStyle name="Calcul 7 9 2" xfId="495"/>
    <cellStyle name="Calcul 8" xfId="200"/>
    <cellStyle name="Calcul 8 10" xfId="496"/>
    <cellStyle name="Calcul 8 11" xfId="497"/>
    <cellStyle name="Calcul 8 12" xfId="498"/>
    <cellStyle name="Calcul 8 2" xfId="201"/>
    <cellStyle name="Calcul 8 2 2" xfId="499"/>
    <cellStyle name="Calcul 8 2 3" xfId="500"/>
    <cellStyle name="Calcul 8 2 4" xfId="501"/>
    <cellStyle name="Calcul 8 3" xfId="202"/>
    <cellStyle name="Calcul 8 3 2" xfId="502"/>
    <cellStyle name="Calcul 8 3 3" xfId="503"/>
    <cellStyle name="Calcul 8 3 4" xfId="504"/>
    <cellStyle name="Calcul 8 4" xfId="203"/>
    <cellStyle name="Calcul 8 4 2" xfId="505"/>
    <cellStyle name="Calcul 8 4 3" xfId="506"/>
    <cellStyle name="Calcul 8 4 4" xfId="507"/>
    <cellStyle name="Calcul 8 5" xfId="204"/>
    <cellStyle name="Calcul 8 5 2" xfId="508"/>
    <cellStyle name="Calcul 8 6" xfId="205"/>
    <cellStyle name="Calcul 8 6 2" xfId="509"/>
    <cellStyle name="Calcul 8 7" xfId="206"/>
    <cellStyle name="Calcul 8 7 2" xfId="510"/>
    <cellStyle name="Calcul 8 8" xfId="207"/>
    <cellStyle name="Calcul 8 8 2" xfId="511"/>
    <cellStyle name="Calcul 8 9" xfId="512"/>
    <cellStyle name="Calcul 8 9 2" xfId="513"/>
    <cellStyle name="Calcul 9" xfId="514"/>
    <cellStyle name="Calcul 9 2" xfId="515"/>
    <cellStyle name="Calcul 9 2 2" xfId="516"/>
    <cellStyle name="Calcul 9 2 3" xfId="517"/>
    <cellStyle name="Calcul 9 3" xfId="518"/>
    <cellStyle name="Calcul 9 3 2" xfId="519"/>
    <cellStyle name="Calcul 9 4" xfId="520"/>
    <cellStyle name="Calcul 9 4 2" xfId="521"/>
    <cellStyle name="Calcul 9 5" xfId="522"/>
    <cellStyle name="Calcul 9 6" xfId="523"/>
    <cellStyle name="Cellule liée 2" xfId="53"/>
    <cellStyle name="Commentaire 10" xfId="524"/>
    <cellStyle name="Commentaire 10 2" xfId="525"/>
    <cellStyle name="Commentaire 10 2 2" xfId="526"/>
    <cellStyle name="Commentaire 10 2 3" xfId="527"/>
    <cellStyle name="Commentaire 10 3" xfId="528"/>
    <cellStyle name="Commentaire 10 3 2" xfId="529"/>
    <cellStyle name="Commentaire 10 4" xfId="530"/>
    <cellStyle name="Commentaire 10 5" xfId="531"/>
    <cellStyle name="Commentaire 11" xfId="532"/>
    <cellStyle name="Commentaire 11 2" xfId="533"/>
    <cellStyle name="Commentaire 11 2 2" xfId="534"/>
    <cellStyle name="Commentaire 11 3" xfId="535"/>
    <cellStyle name="Commentaire 11 3 2" xfId="536"/>
    <cellStyle name="Commentaire 11 4" xfId="537"/>
    <cellStyle name="Commentaire 12" xfId="538"/>
    <cellStyle name="Commentaire 12 2" xfId="539"/>
    <cellStyle name="Commentaire 2" xfId="54"/>
    <cellStyle name="Commentaire 2 10" xfId="540"/>
    <cellStyle name="Commentaire 2 11" xfId="541"/>
    <cellStyle name="Commentaire 2 12" xfId="542"/>
    <cellStyle name="Commentaire 2 2" xfId="55"/>
    <cellStyle name="Commentaire 2 2 2" xfId="543"/>
    <cellStyle name="Commentaire 2 2 2 2" xfId="544"/>
    <cellStyle name="Commentaire 2 2 2 3" xfId="545"/>
    <cellStyle name="Commentaire 2 2 2 4" xfId="546"/>
    <cellStyle name="Commentaire 2 2 3" xfId="547"/>
    <cellStyle name="Commentaire 2 2 3 2" xfId="548"/>
    <cellStyle name="Commentaire 2 2 3 3" xfId="549"/>
    <cellStyle name="Commentaire 2 2 4" xfId="550"/>
    <cellStyle name="Commentaire 2 2 4 2" xfId="551"/>
    <cellStyle name="Commentaire 2 2 5" xfId="552"/>
    <cellStyle name="Commentaire 2 2 6" xfId="553"/>
    <cellStyle name="Commentaire 2 3" xfId="56"/>
    <cellStyle name="Commentaire 2 3 2" xfId="554"/>
    <cellStyle name="Commentaire 2 3 3" xfId="555"/>
    <cellStyle name="Commentaire 2 3 4" xfId="556"/>
    <cellStyle name="Commentaire 2 4" xfId="57"/>
    <cellStyle name="Commentaire 2 4 2" xfId="557"/>
    <cellStyle name="Commentaire 2 4 3" xfId="558"/>
    <cellStyle name="Commentaire 2 4 4" xfId="559"/>
    <cellStyle name="Commentaire 2 5" xfId="208"/>
    <cellStyle name="Commentaire 2 5 2" xfId="560"/>
    <cellStyle name="Commentaire 2 5 3" xfId="561"/>
    <cellStyle name="Commentaire 2 5 4" xfId="562"/>
    <cellStyle name="Commentaire 2 6" xfId="209"/>
    <cellStyle name="Commentaire 2 6 2" xfId="563"/>
    <cellStyle name="Commentaire 2 7" xfId="210"/>
    <cellStyle name="Commentaire 2 7 2" xfId="564"/>
    <cellStyle name="Commentaire 2 8" xfId="211"/>
    <cellStyle name="Commentaire 2 8 2" xfId="565"/>
    <cellStyle name="Commentaire 2 9" xfId="566"/>
    <cellStyle name="Commentaire 2 9 2" xfId="567"/>
    <cellStyle name="Commentaire 3" xfId="58"/>
    <cellStyle name="Commentaire 3 10" xfId="568"/>
    <cellStyle name="Commentaire 3 11" xfId="569"/>
    <cellStyle name="Commentaire 3 12" xfId="570"/>
    <cellStyle name="Commentaire 3 2" xfId="59"/>
    <cellStyle name="Commentaire 3 2 2" xfId="571"/>
    <cellStyle name="Commentaire 3 2 2 2" xfId="572"/>
    <cellStyle name="Commentaire 3 2 2 3" xfId="573"/>
    <cellStyle name="Commentaire 3 2 2 4" xfId="574"/>
    <cellStyle name="Commentaire 3 2 3" xfId="575"/>
    <cellStyle name="Commentaire 3 2 3 2" xfId="576"/>
    <cellStyle name="Commentaire 3 2 3 3" xfId="577"/>
    <cellStyle name="Commentaire 3 2 4" xfId="578"/>
    <cellStyle name="Commentaire 3 2 4 2" xfId="579"/>
    <cellStyle name="Commentaire 3 2 5" xfId="580"/>
    <cellStyle name="Commentaire 3 2 6" xfId="581"/>
    <cellStyle name="Commentaire 3 3" xfId="60"/>
    <cellStyle name="Commentaire 3 3 2" xfId="582"/>
    <cellStyle name="Commentaire 3 3 3" xfId="583"/>
    <cellStyle name="Commentaire 3 3 4" xfId="584"/>
    <cellStyle name="Commentaire 3 4" xfId="61"/>
    <cellStyle name="Commentaire 3 4 2" xfId="585"/>
    <cellStyle name="Commentaire 3 4 3" xfId="586"/>
    <cellStyle name="Commentaire 3 4 4" xfId="587"/>
    <cellStyle name="Commentaire 3 5" xfId="212"/>
    <cellStyle name="Commentaire 3 5 2" xfId="588"/>
    <cellStyle name="Commentaire 3 5 3" xfId="589"/>
    <cellStyle name="Commentaire 3 5 4" xfId="590"/>
    <cellStyle name="Commentaire 3 6" xfId="213"/>
    <cellStyle name="Commentaire 3 6 2" xfId="591"/>
    <cellStyle name="Commentaire 3 7" xfId="214"/>
    <cellStyle name="Commentaire 3 7 2" xfId="592"/>
    <cellStyle name="Commentaire 3 8" xfId="215"/>
    <cellStyle name="Commentaire 3 8 2" xfId="593"/>
    <cellStyle name="Commentaire 3 9" xfId="594"/>
    <cellStyle name="Commentaire 3 9 2" xfId="595"/>
    <cellStyle name="Commentaire 4" xfId="62"/>
    <cellStyle name="Commentaire 4 10" xfId="596"/>
    <cellStyle name="Commentaire 4 11" xfId="597"/>
    <cellStyle name="Commentaire 4 12" xfId="598"/>
    <cellStyle name="Commentaire 4 2" xfId="63"/>
    <cellStyle name="Commentaire 4 2 2" xfId="599"/>
    <cellStyle name="Commentaire 4 2 2 2" xfId="600"/>
    <cellStyle name="Commentaire 4 2 2 3" xfId="601"/>
    <cellStyle name="Commentaire 4 2 2 4" xfId="602"/>
    <cellStyle name="Commentaire 4 2 3" xfId="603"/>
    <cellStyle name="Commentaire 4 2 3 2" xfId="604"/>
    <cellStyle name="Commentaire 4 2 3 3" xfId="605"/>
    <cellStyle name="Commentaire 4 2 4" xfId="606"/>
    <cellStyle name="Commentaire 4 2 4 2" xfId="607"/>
    <cellStyle name="Commentaire 4 2 5" xfId="608"/>
    <cellStyle name="Commentaire 4 2 6" xfId="609"/>
    <cellStyle name="Commentaire 4 3" xfId="64"/>
    <cellStyle name="Commentaire 4 3 2" xfId="610"/>
    <cellStyle name="Commentaire 4 3 3" xfId="611"/>
    <cellStyle name="Commentaire 4 3 4" xfId="612"/>
    <cellStyle name="Commentaire 4 4" xfId="65"/>
    <cellStyle name="Commentaire 4 4 2" xfId="613"/>
    <cellStyle name="Commentaire 4 4 3" xfId="614"/>
    <cellStyle name="Commentaire 4 4 4" xfId="615"/>
    <cellStyle name="Commentaire 4 5" xfId="216"/>
    <cellStyle name="Commentaire 4 5 2" xfId="616"/>
    <cellStyle name="Commentaire 4 5 3" xfId="617"/>
    <cellStyle name="Commentaire 4 5 4" xfId="618"/>
    <cellStyle name="Commentaire 4 6" xfId="217"/>
    <cellStyle name="Commentaire 4 6 2" xfId="619"/>
    <cellStyle name="Commentaire 4 7" xfId="218"/>
    <cellStyle name="Commentaire 4 7 2" xfId="620"/>
    <cellStyle name="Commentaire 4 8" xfId="219"/>
    <cellStyle name="Commentaire 4 8 2" xfId="621"/>
    <cellStyle name="Commentaire 4 9" xfId="622"/>
    <cellStyle name="Commentaire 4 9 2" xfId="623"/>
    <cellStyle name="Commentaire 5" xfId="66"/>
    <cellStyle name="Commentaire 5 10" xfId="624"/>
    <cellStyle name="Commentaire 5 11" xfId="625"/>
    <cellStyle name="Commentaire 5 12" xfId="626"/>
    <cellStyle name="Commentaire 5 2" xfId="67"/>
    <cellStyle name="Commentaire 5 2 2" xfId="627"/>
    <cellStyle name="Commentaire 5 2 3" xfId="628"/>
    <cellStyle name="Commentaire 5 2 4" xfId="629"/>
    <cellStyle name="Commentaire 5 3" xfId="68"/>
    <cellStyle name="Commentaire 5 3 2" xfId="630"/>
    <cellStyle name="Commentaire 5 3 3" xfId="631"/>
    <cellStyle name="Commentaire 5 3 4" xfId="632"/>
    <cellStyle name="Commentaire 5 4" xfId="69"/>
    <cellStyle name="Commentaire 5 4 2" xfId="633"/>
    <cellStyle name="Commentaire 5 4 3" xfId="634"/>
    <cellStyle name="Commentaire 5 4 4" xfId="635"/>
    <cellStyle name="Commentaire 5 5" xfId="220"/>
    <cellStyle name="Commentaire 5 5 2" xfId="636"/>
    <cellStyle name="Commentaire 5 6" xfId="221"/>
    <cellStyle name="Commentaire 5 6 2" xfId="637"/>
    <cellStyle name="Commentaire 5 7" xfId="222"/>
    <cellStyle name="Commentaire 5 7 2" xfId="638"/>
    <cellStyle name="Commentaire 5 8" xfId="223"/>
    <cellStyle name="Commentaire 5 8 2" xfId="639"/>
    <cellStyle name="Commentaire 5 9" xfId="640"/>
    <cellStyle name="Commentaire 5 9 2" xfId="641"/>
    <cellStyle name="Commentaire 6" xfId="70"/>
    <cellStyle name="Commentaire 6 10" xfId="642"/>
    <cellStyle name="Commentaire 6 11" xfId="643"/>
    <cellStyle name="Commentaire 6 12" xfId="644"/>
    <cellStyle name="Commentaire 6 2" xfId="71"/>
    <cellStyle name="Commentaire 6 2 2" xfId="645"/>
    <cellStyle name="Commentaire 6 2 3" xfId="646"/>
    <cellStyle name="Commentaire 6 2 4" xfId="647"/>
    <cellStyle name="Commentaire 6 3" xfId="72"/>
    <cellStyle name="Commentaire 6 3 2" xfId="648"/>
    <cellStyle name="Commentaire 6 3 3" xfId="649"/>
    <cellStyle name="Commentaire 6 3 4" xfId="650"/>
    <cellStyle name="Commentaire 6 4" xfId="73"/>
    <cellStyle name="Commentaire 6 4 2" xfId="651"/>
    <cellStyle name="Commentaire 6 4 3" xfId="652"/>
    <cellStyle name="Commentaire 6 4 4" xfId="653"/>
    <cellStyle name="Commentaire 6 5" xfId="224"/>
    <cellStyle name="Commentaire 6 5 2" xfId="654"/>
    <cellStyle name="Commentaire 6 6" xfId="225"/>
    <cellStyle name="Commentaire 6 6 2" xfId="655"/>
    <cellStyle name="Commentaire 6 7" xfId="226"/>
    <cellStyle name="Commentaire 6 7 2" xfId="656"/>
    <cellStyle name="Commentaire 6 8" xfId="227"/>
    <cellStyle name="Commentaire 6 8 2" xfId="657"/>
    <cellStyle name="Commentaire 6 9" xfId="658"/>
    <cellStyle name="Commentaire 6 9 2" xfId="659"/>
    <cellStyle name="Commentaire 7" xfId="74"/>
    <cellStyle name="Commentaire 7 10" xfId="660"/>
    <cellStyle name="Commentaire 7 11" xfId="661"/>
    <cellStyle name="Commentaire 7 12" xfId="662"/>
    <cellStyle name="Commentaire 7 2" xfId="75"/>
    <cellStyle name="Commentaire 7 2 2" xfId="663"/>
    <cellStyle name="Commentaire 7 2 3" xfId="664"/>
    <cellStyle name="Commentaire 7 2 4" xfId="665"/>
    <cellStyle name="Commentaire 7 3" xfId="76"/>
    <cellStyle name="Commentaire 7 3 2" xfId="666"/>
    <cellStyle name="Commentaire 7 3 3" xfId="667"/>
    <cellStyle name="Commentaire 7 3 4" xfId="668"/>
    <cellStyle name="Commentaire 7 4" xfId="77"/>
    <cellStyle name="Commentaire 7 4 2" xfId="669"/>
    <cellStyle name="Commentaire 7 4 3" xfId="670"/>
    <cellStyle name="Commentaire 7 4 4" xfId="671"/>
    <cellStyle name="Commentaire 7 5" xfId="228"/>
    <cellStyle name="Commentaire 7 5 2" xfId="672"/>
    <cellStyle name="Commentaire 7 6" xfId="229"/>
    <cellStyle name="Commentaire 7 6 2" xfId="673"/>
    <cellStyle name="Commentaire 7 7" xfId="230"/>
    <cellStyle name="Commentaire 7 7 2" xfId="674"/>
    <cellStyle name="Commentaire 7 8" xfId="231"/>
    <cellStyle name="Commentaire 7 8 2" xfId="675"/>
    <cellStyle name="Commentaire 7 9" xfId="676"/>
    <cellStyle name="Commentaire 7 9 2" xfId="677"/>
    <cellStyle name="Commentaire 8" xfId="232"/>
    <cellStyle name="Commentaire 8 10" xfId="678"/>
    <cellStyle name="Commentaire 8 11" xfId="679"/>
    <cellStyle name="Commentaire 8 12" xfId="680"/>
    <cellStyle name="Commentaire 8 2" xfId="233"/>
    <cellStyle name="Commentaire 8 2 2" xfId="681"/>
    <cellStyle name="Commentaire 8 2 3" xfId="682"/>
    <cellStyle name="Commentaire 8 2 4" xfId="683"/>
    <cellStyle name="Commentaire 8 3" xfId="234"/>
    <cellStyle name="Commentaire 8 3 2" xfId="684"/>
    <cellStyle name="Commentaire 8 3 3" xfId="685"/>
    <cellStyle name="Commentaire 8 3 4" xfId="686"/>
    <cellStyle name="Commentaire 8 4" xfId="235"/>
    <cellStyle name="Commentaire 8 4 2" xfId="687"/>
    <cellStyle name="Commentaire 8 4 3" xfId="688"/>
    <cellStyle name="Commentaire 8 4 4" xfId="689"/>
    <cellStyle name="Commentaire 8 5" xfId="236"/>
    <cellStyle name="Commentaire 8 5 2" xfId="690"/>
    <cellStyle name="Commentaire 8 6" xfId="237"/>
    <cellStyle name="Commentaire 8 6 2" xfId="691"/>
    <cellStyle name="Commentaire 8 7" xfId="238"/>
    <cellStyle name="Commentaire 8 7 2" xfId="692"/>
    <cellStyle name="Commentaire 8 8" xfId="239"/>
    <cellStyle name="Commentaire 8 8 2" xfId="693"/>
    <cellStyle name="Commentaire 8 9" xfId="694"/>
    <cellStyle name="Commentaire 8 9 2" xfId="695"/>
    <cellStyle name="Commentaire 9" xfId="696"/>
    <cellStyle name="Commentaire 9 2" xfId="697"/>
    <cellStyle name="Commentaire 9 2 2" xfId="698"/>
    <cellStyle name="Commentaire 9 2 3" xfId="699"/>
    <cellStyle name="Commentaire 9 3" xfId="700"/>
    <cellStyle name="Commentaire 9 3 2" xfId="701"/>
    <cellStyle name="Commentaire 9 4" xfId="702"/>
    <cellStyle name="Commentaire 9 4 2" xfId="703"/>
    <cellStyle name="Commentaire 9 5" xfId="704"/>
    <cellStyle name="Commentaire 9 6" xfId="705"/>
    <cellStyle name="Entrée 10" xfId="706"/>
    <cellStyle name="Entrée 10 2" xfId="707"/>
    <cellStyle name="Entrée 10 2 2" xfId="708"/>
    <cellStyle name="Entrée 10 2 3" xfId="709"/>
    <cellStyle name="Entrée 10 3" xfId="710"/>
    <cellStyle name="Entrée 10 3 2" xfId="711"/>
    <cellStyle name="Entrée 10 4" xfId="712"/>
    <cellStyle name="Entrée 10 5" xfId="713"/>
    <cellStyle name="Entrée 11" xfId="714"/>
    <cellStyle name="Entrée 11 2" xfId="715"/>
    <cellStyle name="Entrée 11 2 2" xfId="716"/>
    <cellStyle name="Entrée 11 3" xfId="717"/>
    <cellStyle name="Entrée 11 3 2" xfId="718"/>
    <cellStyle name="Entrée 11 4" xfId="719"/>
    <cellStyle name="Entrée 12" xfId="720"/>
    <cellStyle name="Entrée 12 2" xfId="721"/>
    <cellStyle name="Entrée 2" xfId="78"/>
    <cellStyle name="Entrée 2 10" xfId="722"/>
    <cellStyle name="Entrée 2 11" xfId="723"/>
    <cellStyle name="Entrée 2 12" xfId="724"/>
    <cellStyle name="Entrée 2 2" xfId="79"/>
    <cellStyle name="Entrée 2 2 2" xfId="725"/>
    <cellStyle name="Entrée 2 2 2 2" xfId="726"/>
    <cellStyle name="Entrée 2 2 2 3" xfId="727"/>
    <cellStyle name="Entrée 2 2 2 4" xfId="728"/>
    <cellStyle name="Entrée 2 2 3" xfId="729"/>
    <cellStyle name="Entrée 2 2 3 2" xfId="730"/>
    <cellStyle name="Entrée 2 2 3 3" xfId="731"/>
    <cellStyle name="Entrée 2 2 4" xfId="732"/>
    <cellStyle name="Entrée 2 2 4 2" xfId="733"/>
    <cellStyle name="Entrée 2 2 5" xfId="734"/>
    <cellStyle name="Entrée 2 2 6" xfId="735"/>
    <cellStyle name="Entrée 2 3" xfId="80"/>
    <cellStyle name="Entrée 2 3 2" xfId="736"/>
    <cellStyle name="Entrée 2 3 3" xfId="737"/>
    <cellStyle name="Entrée 2 3 4" xfId="738"/>
    <cellStyle name="Entrée 2 4" xfId="81"/>
    <cellStyle name="Entrée 2 4 2" xfId="739"/>
    <cellStyle name="Entrée 2 4 3" xfId="740"/>
    <cellStyle name="Entrée 2 4 4" xfId="741"/>
    <cellStyle name="Entrée 2 5" xfId="240"/>
    <cellStyle name="Entrée 2 5 2" xfId="742"/>
    <cellStyle name="Entrée 2 5 3" xfId="743"/>
    <cellStyle name="Entrée 2 5 4" xfId="744"/>
    <cellStyle name="Entrée 2 6" xfId="241"/>
    <cellStyle name="Entrée 2 6 2" xfId="745"/>
    <cellStyle name="Entrée 2 7" xfId="242"/>
    <cellStyle name="Entrée 2 7 2" xfId="746"/>
    <cellStyle name="Entrée 2 8" xfId="243"/>
    <cellStyle name="Entrée 2 8 2" xfId="747"/>
    <cellStyle name="Entrée 2 9" xfId="748"/>
    <cellStyle name="Entrée 2 9 2" xfId="749"/>
    <cellStyle name="Entrée 3" xfId="82"/>
    <cellStyle name="Entrée 3 10" xfId="750"/>
    <cellStyle name="Entrée 3 11" xfId="751"/>
    <cellStyle name="Entrée 3 12" xfId="752"/>
    <cellStyle name="Entrée 3 2" xfId="83"/>
    <cellStyle name="Entrée 3 2 2" xfId="753"/>
    <cellStyle name="Entrée 3 2 2 2" xfId="754"/>
    <cellStyle name="Entrée 3 2 2 3" xfId="755"/>
    <cellStyle name="Entrée 3 2 2 4" xfId="756"/>
    <cellStyle name="Entrée 3 2 3" xfId="757"/>
    <cellStyle name="Entrée 3 2 3 2" xfId="758"/>
    <cellStyle name="Entrée 3 2 3 3" xfId="759"/>
    <cellStyle name="Entrée 3 2 4" xfId="760"/>
    <cellStyle name="Entrée 3 2 4 2" xfId="761"/>
    <cellStyle name="Entrée 3 2 5" xfId="762"/>
    <cellStyle name="Entrée 3 2 6" xfId="763"/>
    <cellStyle name="Entrée 3 3" xfId="84"/>
    <cellStyle name="Entrée 3 3 2" xfId="764"/>
    <cellStyle name="Entrée 3 3 3" xfId="765"/>
    <cellStyle name="Entrée 3 3 4" xfId="766"/>
    <cellStyle name="Entrée 3 4" xfId="85"/>
    <cellStyle name="Entrée 3 4 2" xfId="767"/>
    <cellStyle name="Entrée 3 4 3" xfId="768"/>
    <cellStyle name="Entrée 3 4 4" xfId="769"/>
    <cellStyle name="Entrée 3 5" xfId="244"/>
    <cellStyle name="Entrée 3 5 2" xfId="770"/>
    <cellStyle name="Entrée 3 5 3" xfId="771"/>
    <cellStyle name="Entrée 3 5 4" xfId="772"/>
    <cellStyle name="Entrée 3 6" xfId="245"/>
    <cellStyle name="Entrée 3 6 2" xfId="773"/>
    <cellStyle name="Entrée 3 7" xfId="246"/>
    <cellStyle name="Entrée 3 7 2" xfId="774"/>
    <cellStyle name="Entrée 3 8" xfId="247"/>
    <cellStyle name="Entrée 3 8 2" xfId="775"/>
    <cellStyle name="Entrée 3 9" xfId="776"/>
    <cellStyle name="Entrée 3 9 2" xfId="777"/>
    <cellStyle name="Entrée 4" xfId="86"/>
    <cellStyle name="Entrée 4 10" xfId="778"/>
    <cellStyle name="Entrée 4 11" xfId="779"/>
    <cellStyle name="Entrée 4 12" xfId="780"/>
    <cellStyle name="Entrée 4 2" xfId="87"/>
    <cellStyle name="Entrée 4 2 2" xfId="781"/>
    <cellStyle name="Entrée 4 2 2 2" xfId="782"/>
    <cellStyle name="Entrée 4 2 2 3" xfId="783"/>
    <cellStyle name="Entrée 4 2 2 4" xfId="784"/>
    <cellStyle name="Entrée 4 2 3" xfId="785"/>
    <cellStyle name="Entrée 4 2 3 2" xfId="786"/>
    <cellStyle name="Entrée 4 2 3 3" xfId="787"/>
    <cellStyle name="Entrée 4 2 4" xfId="788"/>
    <cellStyle name="Entrée 4 2 4 2" xfId="789"/>
    <cellStyle name="Entrée 4 2 5" xfId="790"/>
    <cellStyle name="Entrée 4 2 6" xfId="791"/>
    <cellStyle name="Entrée 4 3" xfId="88"/>
    <cellStyle name="Entrée 4 3 2" xfId="792"/>
    <cellStyle name="Entrée 4 3 3" xfId="793"/>
    <cellStyle name="Entrée 4 3 4" xfId="794"/>
    <cellStyle name="Entrée 4 4" xfId="89"/>
    <cellStyle name="Entrée 4 4 2" xfId="795"/>
    <cellStyle name="Entrée 4 4 3" xfId="796"/>
    <cellStyle name="Entrée 4 4 4" xfId="797"/>
    <cellStyle name="Entrée 4 5" xfId="248"/>
    <cellStyle name="Entrée 4 5 2" xfId="798"/>
    <cellStyle name="Entrée 4 5 3" xfId="799"/>
    <cellStyle name="Entrée 4 5 4" xfId="800"/>
    <cellStyle name="Entrée 4 6" xfId="249"/>
    <cellStyle name="Entrée 4 6 2" xfId="801"/>
    <cellStyle name="Entrée 4 7" xfId="250"/>
    <cellStyle name="Entrée 4 7 2" xfId="802"/>
    <cellStyle name="Entrée 4 8" xfId="251"/>
    <cellStyle name="Entrée 4 8 2" xfId="803"/>
    <cellStyle name="Entrée 4 9" xfId="804"/>
    <cellStyle name="Entrée 4 9 2" xfId="805"/>
    <cellStyle name="Entrée 5" xfId="90"/>
    <cellStyle name="Entrée 5 10" xfId="806"/>
    <cellStyle name="Entrée 5 11" xfId="807"/>
    <cellStyle name="Entrée 5 12" xfId="808"/>
    <cellStyle name="Entrée 5 2" xfId="91"/>
    <cellStyle name="Entrée 5 2 2" xfId="809"/>
    <cellStyle name="Entrée 5 2 3" xfId="810"/>
    <cellStyle name="Entrée 5 2 4" xfId="811"/>
    <cellStyle name="Entrée 5 3" xfId="92"/>
    <cellStyle name="Entrée 5 3 2" xfId="812"/>
    <cellStyle name="Entrée 5 3 3" xfId="813"/>
    <cellStyle name="Entrée 5 3 4" xfId="814"/>
    <cellStyle name="Entrée 5 4" xfId="93"/>
    <cellStyle name="Entrée 5 4 2" xfId="815"/>
    <cellStyle name="Entrée 5 4 3" xfId="816"/>
    <cellStyle name="Entrée 5 4 4" xfId="817"/>
    <cellStyle name="Entrée 5 5" xfId="252"/>
    <cellStyle name="Entrée 5 5 2" xfId="818"/>
    <cellStyle name="Entrée 5 6" xfId="253"/>
    <cellStyle name="Entrée 5 6 2" xfId="819"/>
    <cellStyle name="Entrée 5 7" xfId="254"/>
    <cellStyle name="Entrée 5 7 2" xfId="820"/>
    <cellStyle name="Entrée 5 8" xfId="255"/>
    <cellStyle name="Entrée 5 8 2" xfId="821"/>
    <cellStyle name="Entrée 5 9" xfId="822"/>
    <cellStyle name="Entrée 5 9 2" xfId="823"/>
    <cellStyle name="Entrée 6" xfId="94"/>
    <cellStyle name="Entrée 6 10" xfId="824"/>
    <cellStyle name="Entrée 6 11" xfId="825"/>
    <cellStyle name="Entrée 6 12" xfId="826"/>
    <cellStyle name="Entrée 6 2" xfId="95"/>
    <cellStyle name="Entrée 6 2 2" xfId="827"/>
    <cellStyle name="Entrée 6 2 3" xfId="828"/>
    <cellStyle name="Entrée 6 2 4" xfId="829"/>
    <cellStyle name="Entrée 6 3" xfId="96"/>
    <cellStyle name="Entrée 6 3 2" xfId="830"/>
    <cellStyle name="Entrée 6 3 3" xfId="831"/>
    <cellStyle name="Entrée 6 3 4" xfId="832"/>
    <cellStyle name="Entrée 6 4" xfId="97"/>
    <cellStyle name="Entrée 6 4 2" xfId="833"/>
    <cellStyle name="Entrée 6 4 3" xfId="834"/>
    <cellStyle name="Entrée 6 4 4" xfId="835"/>
    <cellStyle name="Entrée 6 5" xfId="256"/>
    <cellStyle name="Entrée 6 5 2" xfId="836"/>
    <cellStyle name="Entrée 6 6" xfId="257"/>
    <cellStyle name="Entrée 6 6 2" xfId="837"/>
    <cellStyle name="Entrée 6 7" xfId="258"/>
    <cellStyle name="Entrée 6 7 2" xfId="838"/>
    <cellStyle name="Entrée 6 8" xfId="259"/>
    <cellStyle name="Entrée 6 8 2" xfId="839"/>
    <cellStyle name="Entrée 6 9" xfId="840"/>
    <cellStyle name="Entrée 6 9 2" xfId="841"/>
    <cellStyle name="Entrée 7" xfId="98"/>
    <cellStyle name="Entrée 7 10" xfId="842"/>
    <cellStyle name="Entrée 7 11" xfId="843"/>
    <cellStyle name="Entrée 7 12" xfId="844"/>
    <cellStyle name="Entrée 7 2" xfId="99"/>
    <cellStyle name="Entrée 7 2 2" xfId="845"/>
    <cellStyle name="Entrée 7 2 3" xfId="846"/>
    <cellStyle name="Entrée 7 2 4" xfId="847"/>
    <cellStyle name="Entrée 7 3" xfId="100"/>
    <cellStyle name="Entrée 7 3 2" xfId="848"/>
    <cellStyle name="Entrée 7 3 3" xfId="849"/>
    <cellStyle name="Entrée 7 3 4" xfId="850"/>
    <cellStyle name="Entrée 7 4" xfId="101"/>
    <cellStyle name="Entrée 7 4 2" xfId="851"/>
    <cellStyle name="Entrée 7 4 3" xfId="852"/>
    <cellStyle name="Entrée 7 4 4" xfId="853"/>
    <cellStyle name="Entrée 7 5" xfId="260"/>
    <cellStyle name="Entrée 7 5 2" xfId="854"/>
    <cellStyle name="Entrée 7 6" xfId="261"/>
    <cellStyle name="Entrée 7 6 2" xfId="855"/>
    <cellStyle name="Entrée 7 7" xfId="262"/>
    <cellStyle name="Entrée 7 7 2" xfId="856"/>
    <cellStyle name="Entrée 7 8" xfId="263"/>
    <cellStyle name="Entrée 7 8 2" xfId="857"/>
    <cellStyle name="Entrée 7 9" xfId="858"/>
    <cellStyle name="Entrée 7 9 2" xfId="859"/>
    <cellStyle name="Entrée 8" xfId="264"/>
    <cellStyle name="Entrée 8 10" xfId="860"/>
    <cellStyle name="Entrée 8 11" xfId="861"/>
    <cellStyle name="Entrée 8 12" xfId="862"/>
    <cellStyle name="Entrée 8 2" xfId="265"/>
    <cellStyle name="Entrée 8 2 2" xfId="863"/>
    <cellStyle name="Entrée 8 2 3" xfId="864"/>
    <cellStyle name="Entrée 8 2 4" xfId="865"/>
    <cellStyle name="Entrée 8 3" xfId="266"/>
    <cellStyle name="Entrée 8 3 2" xfId="866"/>
    <cellStyle name="Entrée 8 3 3" xfId="867"/>
    <cellStyle name="Entrée 8 3 4" xfId="868"/>
    <cellStyle name="Entrée 8 4" xfId="267"/>
    <cellStyle name="Entrée 8 4 2" xfId="869"/>
    <cellStyle name="Entrée 8 4 3" xfId="870"/>
    <cellStyle name="Entrée 8 4 4" xfId="871"/>
    <cellStyle name="Entrée 8 5" xfId="268"/>
    <cellStyle name="Entrée 8 5 2" xfId="872"/>
    <cellStyle name="Entrée 8 6" xfId="269"/>
    <cellStyle name="Entrée 8 6 2" xfId="873"/>
    <cellStyle name="Entrée 8 7" xfId="270"/>
    <cellStyle name="Entrée 8 7 2" xfId="874"/>
    <cellStyle name="Entrée 8 8" xfId="271"/>
    <cellStyle name="Entrée 8 8 2" xfId="875"/>
    <cellStyle name="Entrée 8 9" xfId="876"/>
    <cellStyle name="Entrée 8 9 2" xfId="877"/>
    <cellStyle name="Entrée 9" xfId="878"/>
    <cellStyle name="Entrée 9 2" xfId="879"/>
    <cellStyle name="Entrée 9 2 2" xfId="880"/>
    <cellStyle name="Entrée 9 2 3" xfId="881"/>
    <cellStyle name="Entrée 9 3" xfId="882"/>
    <cellStyle name="Entrée 9 3 2" xfId="883"/>
    <cellStyle name="Entrée 9 4" xfId="884"/>
    <cellStyle name="Entrée 9 4 2" xfId="885"/>
    <cellStyle name="Entrée 9 5" xfId="886"/>
    <cellStyle name="Entrée 9 6" xfId="887"/>
    <cellStyle name="Insatisfaisant 2" xfId="102"/>
    <cellStyle name="Milliers" xfId="340" builtinId="3"/>
    <cellStyle name="Milliers 2" xfId="103"/>
    <cellStyle name="Milliers 2 2" xfId="175"/>
    <cellStyle name="Milliers 3" xfId="104"/>
    <cellStyle name="Neutre 2" xfId="105"/>
    <cellStyle name="Normal" xfId="0" builtinId="0"/>
    <cellStyle name="Normal 10" xfId="338"/>
    <cellStyle name="Normal 11" xfId="341"/>
    <cellStyle name="Normal 12" xfId="1285"/>
    <cellStyle name="Normal 13" xfId="1286"/>
    <cellStyle name="Normal 2" xfId="2"/>
    <cellStyle name="Normal 2 2" xfId="106"/>
    <cellStyle name="Normal 2 3" xfId="174"/>
    <cellStyle name="Normal 3" xfId="107"/>
    <cellStyle name="Normal 4" xfId="108"/>
    <cellStyle name="Normal 4 2" xfId="337"/>
    <cellStyle name="Normal 4 2 2" xfId="888"/>
    <cellStyle name="Normal 4 2 2 2" xfId="889"/>
    <cellStyle name="Normal 4 2 2 2 2" xfId="890"/>
    <cellStyle name="Normal 4 2 2 3" xfId="891"/>
    <cellStyle name="Normal 4 2 2 4" xfId="892"/>
    <cellStyle name="Normal 4 2 3" xfId="893"/>
    <cellStyle name="Normal 4 2 3 2" xfId="894"/>
    <cellStyle name="Normal 4 2 4" xfId="895"/>
    <cellStyle name="Normal 4 2 5" xfId="896"/>
    <cellStyle name="Normal 4 3" xfId="339"/>
    <cellStyle name="Normal 4 3 2" xfId="897"/>
    <cellStyle name="Normal 4 3 2 2" xfId="898"/>
    <cellStyle name="Normal 4 3 3" xfId="899"/>
    <cellStyle name="Normal 4 3 4" xfId="900"/>
    <cellStyle name="Normal 4 4" xfId="901"/>
    <cellStyle name="Normal 4 4 2" xfId="902"/>
    <cellStyle name="Normal 4 4 2 2" xfId="903"/>
    <cellStyle name="Normal 4 4 3" xfId="904"/>
    <cellStyle name="Normal 4 4 4" xfId="905"/>
    <cellStyle name="Normal 4 5" xfId="906"/>
    <cellStyle name="Normal 4 5 2" xfId="907"/>
    <cellStyle name="Normal 4 5 3" xfId="908"/>
    <cellStyle name="Normal 4 6" xfId="909"/>
    <cellStyle name="Normal 4 7" xfId="910"/>
    <cellStyle name="Normal 5" xfId="109"/>
    <cellStyle name="Normal 5 2" xfId="110"/>
    <cellStyle name="Normal 5 3" xfId="911"/>
    <cellStyle name="Normal 5 4" xfId="1282"/>
    <cellStyle name="Normal 6" xfId="111"/>
    <cellStyle name="Normal 7" xfId="112"/>
    <cellStyle name="Normal 8" xfId="113"/>
    <cellStyle name="Normal 9" xfId="336"/>
    <cellStyle name="Pourcentage" xfId="1" builtinId="5"/>
    <cellStyle name="Pourcentage 2" xfId="3"/>
    <cellStyle name="Pourcentage 3" xfId="114"/>
    <cellStyle name="Pourcentage 3 2" xfId="115"/>
    <cellStyle name="Pourcentage 3 3" xfId="912"/>
    <cellStyle name="Pourcentage 3 4" xfId="1283"/>
    <cellStyle name="Pourcentage 4" xfId="116"/>
    <cellStyle name="Pourcentage 4 2" xfId="913"/>
    <cellStyle name="Pourcentage 5" xfId="117"/>
    <cellStyle name="Pourcentage 5 2" xfId="914"/>
    <cellStyle name="Pourcentage 6" xfId="915"/>
    <cellStyle name="Pourcentage 7" xfId="916"/>
    <cellStyle name="Pourcentage 7 2" xfId="1284"/>
    <cellStyle name="Pourcentage 8" xfId="917"/>
    <cellStyle name="Satisfaisant 2" xfId="118"/>
    <cellStyle name="Sortie 10" xfId="918"/>
    <cellStyle name="Sortie 10 2" xfId="919"/>
    <cellStyle name="Sortie 10 2 2" xfId="920"/>
    <cellStyle name="Sortie 10 2 3" xfId="921"/>
    <cellStyle name="Sortie 10 3" xfId="922"/>
    <cellStyle name="Sortie 10 3 2" xfId="923"/>
    <cellStyle name="Sortie 10 4" xfId="924"/>
    <cellStyle name="Sortie 10 5" xfId="925"/>
    <cellStyle name="Sortie 11" xfId="926"/>
    <cellStyle name="Sortie 11 2" xfId="927"/>
    <cellStyle name="Sortie 11 2 2" xfId="928"/>
    <cellStyle name="Sortie 11 3" xfId="929"/>
    <cellStyle name="Sortie 11 3 2" xfId="930"/>
    <cellStyle name="Sortie 11 4" xfId="931"/>
    <cellStyle name="Sortie 12" xfId="932"/>
    <cellStyle name="Sortie 12 2" xfId="933"/>
    <cellStyle name="Sortie 2" xfId="119"/>
    <cellStyle name="Sortie 2 10" xfId="934"/>
    <cellStyle name="Sortie 2 11" xfId="935"/>
    <cellStyle name="Sortie 2 12" xfId="936"/>
    <cellStyle name="Sortie 2 2" xfId="120"/>
    <cellStyle name="Sortie 2 2 2" xfId="937"/>
    <cellStyle name="Sortie 2 2 2 2" xfId="938"/>
    <cellStyle name="Sortie 2 2 2 3" xfId="939"/>
    <cellStyle name="Sortie 2 2 2 4" xfId="940"/>
    <cellStyle name="Sortie 2 2 3" xfId="941"/>
    <cellStyle name="Sortie 2 2 3 2" xfId="942"/>
    <cellStyle name="Sortie 2 2 3 3" xfId="943"/>
    <cellStyle name="Sortie 2 2 4" xfId="944"/>
    <cellStyle name="Sortie 2 2 4 2" xfId="945"/>
    <cellStyle name="Sortie 2 2 5" xfId="946"/>
    <cellStyle name="Sortie 2 2 6" xfId="947"/>
    <cellStyle name="Sortie 2 3" xfId="121"/>
    <cellStyle name="Sortie 2 3 2" xfId="948"/>
    <cellStyle name="Sortie 2 3 3" xfId="949"/>
    <cellStyle name="Sortie 2 3 4" xfId="950"/>
    <cellStyle name="Sortie 2 4" xfId="122"/>
    <cellStyle name="Sortie 2 4 2" xfId="951"/>
    <cellStyle name="Sortie 2 4 3" xfId="952"/>
    <cellStyle name="Sortie 2 4 4" xfId="953"/>
    <cellStyle name="Sortie 2 5" xfId="272"/>
    <cellStyle name="Sortie 2 5 2" xfId="954"/>
    <cellStyle name="Sortie 2 5 3" xfId="955"/>
    <cellStyle name="Sortie 2 5 4" xfId="956"/>
    <cellStyle name="Sortie 2 6" xfId="273"/>
    <cellStyle name="Sortie 2 6 2" xfId="957"/>
    <cellStyle name="Sortie 2 7" xfId="274"/>
    <cellStyle name="Sortie 2 7 2" xfId="958"/>
    <cellStyle name="Sortie 2 8" xfId="275"/>
    <cellStyle name="Sortie 2 8 2" xfId="959"/>
    <cellStyle name="Sortie 2 9" xfId="960"/>
    <cellStyle name="Sortie 2 9 2" xfId="961"/>
    <cellStyle name="Sortie 3" xfId="123"/>
    <cellStyle name="Sortie 3 10" xfId="962"/>
    <cellStyle name="Sortie 3 11" xfId="963"/>
    <cellStyle name="Sortie 3 12" xfId="964"/>
    <cellStyle name="Sortie 3 2" xfId="124"/>
    <cellStyle name="Sortie 3 2 2" xfId="965"/>
    <cellStyle name="Sortie 3 2 2 2" xfId="966"/>
    <cellStyle name="Sortie 3 2 2 3" xfId="967"/>
    <cellStyle name="Sortie 3 2 2 4" xfId="968"/>
    <cellStyle name="Sortie 3 2 3" xfId="969"/>
    <cellStyle name="Sortie 3 2 3 2" xfId="970"/>
    <cellStyle name="Sortie 3 2 3 3" xfId="971"/>
    <cellStyle name="Sortie 3 2 4" xfId="972"/>
    <cellStyle name="Sortie 3 2 4 2" xfId="973"/>
    <cellStyle name="Sortie 3 2 5" xfId="974"/>
    <cellStyle name="Sortie 3 2 6" xfId="975"/>
    <cellStyle name="Sortie 3 3" xfId="125"/>
    <cellStyle name="Sortie 3 3 2" xfId="976"/>
    <cellStyle name="Sortie 3 3 3" xfId="977"/>
    <cellStyle name="Sortie 3 3 4" xfId="978"/>
    <cellStyle name="Sortie 3 4" xfId="126"/>
    <cellStyle name="Sortie 3 4 2" xfId="979"/>
    <cellStyle name="Sortie 3 4 3" xfId="980"/>
    <cellStyle name="Sortie 3 4 4" xfId="981"/>
    <cellStyle name="Sortie 3 5" xfId="276"/>
    <cellStyle name="Sortie 3 5 2" xfId="982"/>
    <cellStyle name="Sortie 3 5 3" xfId="983"/>
    <cellStyle name="Sortie 3 5 4" xfId="984"/>
    <cellStyle name="Sortie 3 6" xfId="277"/>
    <cellStyle name="Sortie 3 6 2" xfId="985"/>
    <cellStyle name="Sortie 3 7" xfId="278"/>
    <cellStyle name="Sortie 3 7 2" xfId="986"/>
    <cellStyle name="Sortie 3 8" xfId="279"/>
    <cellStyle name="Sortie 3 8 2" xfId="987"/>
    <cellStyle name="Sortie 3 9" xfId="988"/>
    <cellStyle name="Sortie 3 9 2" xfId="989"/>
    <cellStyle name="Sortie 4" xfId="127"/>
    <cellStyle name="Sortie 4 10" xfId="990"/>
    <cellStyle name="Sortie 4 11" xfId="991"/>
    <cellStyle name="Sortie 4 12" xfId="992"/>
    <cellStyle name="Sortie 4 2" xfId="128"/>
    <cellStyle name="Sortie 4 2 2" xfId="993"/>
    <cellStyle name="Sortie 4 2 2 2" xfId="994"/>
    <cellStyle name="Sortie 4 2 2 3" xfId="995"/>
    <cellStyle name="Sortie 4 2 2 4" xfId="996"/>
    <cellStyle name="Sortie 4 2 3" xfId="997"/>
    <cellStyle name="Sortie 4 2 3 2" xfId="998"/>
    <cellStyle name="Sortie 4 2 3 3" xfId="999"/>
    <cellStyle name="Sortie 4 2 4" xfId="1000"/>
    <cellStyle name="Sortie 4 2 4 2" xfId="1001"/>
    <cellStyle name="Sortie 4 2 5" xfId="1002"/>
    <cellStyle name="Sortie 4 2 6" xfId="1003"/>
    <cellStyle name="Sortie 4 3" xfId="129"/>
    <cellStyle name="Sortie 4 3 2" xfId="1004"/>
    <cellStyle name="Sortie 4 3 3" xfId="1005"/>
    <cellStyle name="Sortie 4 3 4" xfId="1006"/>
    <cellStyle name="Sortie 4 4" xfId="130"/>
    <cellStyle name="Sortie 4 4 2" xfId="1007"/>
    <cellStyle name="Sortie 4 4 3" xfId="1008"/>
    <cellStyle name="Sortie 4 4 4" xfId="1009"/>
    <cellStyle name="Sortie 4 5" xfId="280"/>
    <cellStyle name="Sortie 4 5 2" xfId="1010"/>
    <cellStyle name="Sortie 4 5 3" xfId="1011"/>
    <cellStyle name="Sortie 4 5 4" xfId="1012"/>
    <cellStyle name="Sortie 4 6" xfId="281"/>
    <cellStyle name="Sortie 4 6 2" xfId="1013"/>
    <cellStyle name="Sortie 4 7" xfId="282"/>
    <cellStyle name="Sortie 4 7 2" xfId="1014"/>
    <cellStyle name="Sortie 4 8" xfId="283"/>
    <cellStyle name="Sortie 4 8 2" xfId="1015"/>
    <cellStyle name="Sortie 4 9" xfId="1016"/>
    <cellStyle name="Sortie 4 9 2" xfId="1017"/>
    <cellStyle name="Sortie 5" xfId="131"/>
    <cellStyle name="Sortie 5 10" xfId="1018"/>
    <cellStyle name="Sortie 5 11" xfId="1019"/>
    <cellStyle name="Sortie 5 12" xfId="1020"/>
    <cellStyle name="Sortie 5 2" xfId="132"/>
    <cellStyle name="Sortie 5 2 2" xfId="1021"/>
    <cellStyle name="Sortie 5 2 3" xfId="1022"/>
    <cellStyle name="Sortie 5 2 4" xfId="1023"/>
    <cellStyle name="Sortie 5 3" xfId="133"/>
    <cellStyle name="Sortie 5 3 2" xfId="1024"/>
    <cellStyle name="Sortie 5 3 3" xfId="1025"/>
    <cellStyle name="Sortie 5 3 4" xfId="1026"/>
    <cellStyle name="Sortie 5 4" xfId="134"/>
    <cellStyle name="Sortie 5 4 2" xfId="1027"/>
    <cellStyle name="Sortie 5 4 3" xfId="1028"/>
    <cellStyle name="Sortie 5 4 4" xfId="1029"/>
    <cellStyle name="Sortie 5 5" xfId="284"/>
    <cellStyle name="Sortie 5 5 2" xfId="1030"/>
    <cellStyle name="Sortie 5 6" xfId="285"/>
    <cellStyle name="Sortie 5 6 2" xfId="1031"/>
    <cellStyle name="Sortie 5 7" xfId="286"/>
    <cellStyle name="Sortie 5 7 2" xfId="1032"/>
    <cellStyle name="Sortie 5 8" xfId="287"/>
    <cellStyle name="Sortie 5 8 2" xfId="1033"/>
    <cellStyle name="Sortie 5 9" xfId="1034"/>
    <cellStyle name="Sortie 5 9 2" xfId="1035"/>
    <cellStyle name="Sortie 6" xfId="135"/>
    <cellStyle name="Sortie 6 10" xfId="1036"/>
    <cellStyle name="Sortie 6 11" xfId="1037"/>
    <cellStyle name="Sortie 6 12" xfId="1038"/>
    <cellStyle name="Sortie 6 2" xfId="136"/>
    <cellStyle name="Sortie 6 2 2" xfId="1039"/>
    <cellStyle name="Sortie 6 2 3" xfId="1040"/>
    <cellStyle name="Sortie 6 2 4" xfId="1041"/>
    <cellStyle name="Sortie 6 3" xfId="137"/>
    <cellStyle name="Sortie 6 3 2" xfId="1042"/>
    <cellStyle name="Sortie 6 3 3" xfId="1043"/>
    <cellStyle name="Sortie 6 3 4" xfId="1044"/>
    <cellStyle name="Sortie 6 4" xfId="138"/>
    <cellStyle name="Sortie 6 4 2" xfId="1045"/>
    <cellStyle name="Sortie 6 4 3" xfId="1046"/>
    <cellStyle name="Sortie 6 4 4" xfId="1047"/>
    <cellStyle name="Sortie 6 5" xfId="288"/>
    <cellStyle name="Sortie 6 5 2" xfId="1048"/>
    <cellStyle name="Sortie 6 6" xfId="289"/>
    <cellStyle name="Sortie 6 6 2" xfId="1049"/>
    <cellStyle name="Sortie 6 7" xfId="290"/>
    <cellStyle name="Sortie 6 7 2" xfId="1050"/>
    <cellStyle name="Sortie 6 8" xfId="291"/>
    <cellStyle name="Sortie 6 8 2" xfId="1051"/>
    <cellStyle name="Sortie 6 9" xfId="1052"/>
    <cellStyle name="Sortie 6 9 2" xfId="1053"/>
    <cellStyle name="Sortie 7" xfId="139"/>
    <cellStyle name="Sortie 7 10" xfId="1054"/>
    <cellStyle name="Sortie 7 11" xfId="1055"/>
    <cellStyle name="Sortie 7 12" xfId="1056"/>
    <cellStyle name="Sortie 7 2" xfId="140"/>
    <cellStyle name="Sortie 7 2 2" xfId="1057"/>
    <cellStyle name="Sortie 7 2 3" xfId="1058"/>
    <cellStyle name="Sortie 7 2 4" xfId="1059"/>
    <cellStyle name="Sortie 7 3" xfId="141"/>
    <cellStyle name="Sortie 7 3 2" xfId="1060"/>
    <cellStyle name="Sortie 7 3 3" xfId="1061"/>
    <cellStyle name="Sortie 7 3 4" xfId="1062"/>
    <cellStyle name="Sortie 7 4" xfId="142"/>
    <cellStyle name="Sortie 7 4 2" xfId="1063"/>
    <cellStyle name="Sortie 7 4 3" xfId="1064"/>
    <cellStyle name="Sortie 7 4 4" xfId="1065"/>
    <cellStyle name="Sortie 7 5" xfId="292"/>
    <cellStyle name="Sortie 7 5 2" xfId="1066"/>
    <cellStyle name="Sortie 7 6" xfId="293"/>
    <cellStyle name="Sortie 7 6 2" xfId="1067"/>
    <cellStyle name="Sortie 7 7" xfId="294"/>
    <cellStyle name="Sortie 7 7 2" xfId="1068"/>
    <cellStyle name="Sortie 7 8" xfId="295"/>
    <cellStyle name="Sortie 7 8 2" xfId="1069"/>
    <cellStyle name="Sortie 7 9" xfId="1070"/>
    <cellStyle name="Sortie 7 9 2" xfId="1071"/>
    <cellStyle name="Sortie 8" xfId="296"/>
    <cellStyle name="Sortie 8 10" xfId="1072"/>
    <cellStyle name="Sortie 8 11" xfId="1073"/>
    <cellStyle name="Sortie 8 12" xfId="1074"/>
    <cellStyle name="Sortie 8 2" xfId="297"/>
    <cellStyle name="Sortie 8 2 2" xfId="1075"/>
    <cellStyle name="Sortie 8 2 3" xfId="1076"/>
    <cellStyle name="Sortie 8 2 4" xfId="1077"/>
    <cellStyle name="Sortie 8 3" xfId="298"/>
    <cellStyle name="Sortie 8 3 2" xfId="1078"/>
    <cellStyle name="Sortie 8 3 3" xfId="1079"/>
    <cellStyle name="Sortie 8 3 4" xfId="1080"/>
    <cellStyle name="Sortie 8 4" xfId="299"/>
    <cellStyle name="Sortie 8 4 2" xfId="1081"/>
    <cellStyle name="Sortie 8 4 3" xfId="1082"/>
    <cellStyle name="Sortie 8 4 4" xfId="1083"/>
    <cellStyle name="Sortie 8 5" xfId="300"/>
    <cellStyle name="Sortie 8 5 2" xfId="1084"/>
    <cellStyle name="Sortie 8 6" xfId="301"/>
    <cellStyle name="Sortie 8 6 2" xfId="1085"/>
    <cellStyle name="Sortie 8 7" xfId="302"/>
    <cellStyle name="Sortie 8 7 2" xfId="1086"/>
    <cellStyle name="Sortie 8 8" xfId="303"/>
    <cellStyle name="Sortie 8 8 2" xfId="1087"/>
    <cellStyle name="Sortie 8 9" xfId="1088"/>
    <cellStyle name="Sortie 8 9 2" xfId="1089"/>
    <cellStyle name="Sortie 9" xfId="1090"/>
    <cellStyle name="Sortie 9 2" xfId="1091"/>
    <cellStyle name="Sortie 9 2 2" xfId="1092"/>
    <cellStyle name="Sortie 9 2 3" xfId="1093"/>
    <cellStyle name="Sortie 9 3" xfId="1094"/>
    <cellStyle name="Sortie 9 3 2" xfId="1095"/>
    <cellStyle name="Sortie 9 4" xfId="1096"/>
    <cellStyle name="Sortie 9 4 2" xfId="1097"/>
    <cellStyle name="Sortie 9 5" xfId="1098"/>
    <cellStyle name="Sortie 9 6" xfId="1099"/>
    <cellStyle name="Texte explicatif 2" xfId="143"/>
    <cellStyle name="Titre 1" xfId="144"/>
    <cellStyle name="Titre 1 2" xfId="145"/>
    <cellStyle name="Titre 2 2" xfId="146"/>
    <cellStyle name="Titre 3 2" xfId="147"/>
    <cellStyle name="Titre 4 2" xfId="148"/>
    <cellStyle name="Total 10" xfId="1100"/>
    <cellStyle name="Total 10 2" xfId="1101"/>
    <cellStyle name="Total 10 2 2" xfId="1102"/>
    <cellStyle name="Total 10 2 3" xfId="1103"/>
    <cellStyle name="Total 10 3" xfId="1104"/>
    <cellStyle name="Total 10 3 2" xfId="1105"/>
    <cellStyle name="Total 10 4" xfId="1106"/>
    <cellStyle name="Total 10 5" xfId="1107"/>
    <cellStyle name="Total 11" xfId="1108"/>
    <cellStyle name="Total 11 2" xfId="1109"/>
    <cellStyle name="Total 11 2 2" xfId="1110"/>
    <cellStyle name="Total 11 3" xfId="1111"/>
    <cellStyle name="Total 11 3 2" xfId="1112"/>
    <cellStyle name="Total 11 4" xfId="1113"/>
    <cellStyle name="Total 12" xfId="1114"/>
    <cellStyle name="Total 12 2" xfId="1115"/>
    <cellStyle name="Total 2" xfId="149"/>
    <cellStyle name="Total 2 10" xfId="1116"/>
    <cellStyle name="Total 2 11" xfId="1117"/>
    <cellStyle name="Total 2 12" xfId="1118"/>
    <cellStyle name="Total 2 2" xfId="150"/>
    <cellStyle name="Total 2 2 2" xfId="1119"/>
    <cellStyle name="Total 2 2 2 2" xfId="1120"/>
    <cellStyle name="Total 2 2 2 3" xfId="1121"/>
    <cellStyle name="Total 2 2 2 4" xfId="1122"/>
    <cellStyle name="Total 2 2 3" xfId="1123"/>
    <cellStyle name="Total 2 2 3 2" xfId="1124"/>
    <cellStyle name="Total 2 2 3 3" xfId="1125"/>
    <cellStyle name="Total 2 2 4" xfId="1126"/>
    <cellStyle name="Total 2 2 4 2" xfId="1127"/>
    <cellStyle name="Total 2 2 5" xfId="1128"/>
    <cellStyle name="Total 2 2 6" xfId="1129"/>
    <cellStyle name="Total 2 3" xfId="151"/>
    <cellStyle name="Total 2 3 2" xfId="1130"/>
    <cellStyle name="Total 2 3 3" xfId="1131"/>
    <cellStyle name="Total 2 3 4" xfId="1132"/>
    <cellStyle name="Total 2 4" xfId="152"/>
    <cellStyle name="Total 2 4 2" xfId="1133"/>
    <cellStyle name="Total 2 4 3" xfId="1134"/>
    <cellStyle name="Total 2 4 4" xfId="1135"/>
    <cellStyle name="Total 2 5" xfId="304"/>
    <cellStyle name="Total 2 5 2" xfId="1136"/>
    <cellStyle name="Total 2 5 3" xfId="1137"/>
    <cellStyle name="Total 2 5 4" xfId="1138"/>
    <cellStyle name="Total 2 6" xfId="305"/>
    <cellStyle name="Total 2 6 2" xfId="1139"/>
    <cellStyle name="Total 2 7" xfId="306"/>
    <cellStyle name="Total 2 7 2" xfId="1140"/>
    <cellStyle name="Total 2 8" xfId="307"/>
    <cellStyle name="Total 2 8 2" xfId="1141"/>
    <cellStyle name="Total 2 9" xfId="1142"/>
    <cellStyle name="Total 2 9 2" xfId="1143"/>
    <cellStyle name="Total 3" xfId="153"/>
    <cellStyle name="Total 3 10" xfId="1144"/>
    <cellStyle name="Total 3 11" xfId="1145"/>
    <cellStyle name="Total 3 12" xfId="1146"/>
    <cellStyle name="Total 3 2" xfId="154"/>
    <cellStyle name="Total 3 2 2" xfId="1147"/>
    <cellStyle name="Total 3 2 2 2" xfId="1148"/>
    <cellStyle name="Total 3 2 2 3" xfId="1149"/>
    <cellStyle name="Total 3 2 2 4" xfId="1150"/>
    <cellStyle name="Total 3 2 3" xfId="1151"/>
    <cellStyle name="Total 3 2 3 2" xfId="1152"/>
    <cellStyle name="Total 3 2 3 3" xfId="1153"/>
    <cellStyle name="Total 3 2 4" xfId="1154"/>
    <cellStyle name="Total 3 2 4 2" xfId="1155"/>
    <cellStyle name="Total 3 2 5" xfId="1156"/>
    <cellStyle name="Total 3 2 6" xfId="1157"/>
    <cellStyle name="Total 3 3" xfId="155"/>
    <cellStyle name="Total 3 3 2" xfId="1158"/>
    <cellStyle name="Total 3 3 3" xfId="1159"/>
    <cellStyle name="Total 3 3 4" xfId="1160"/>
    <cellStyle name="Total 3 4" xfId="156"/>
    <cellStyle name="Total 3 4 2" xfId="1161"/>
    <cellStyle name="Total 3 4 3" xfId="1162"/>
    <cellStyle name="Total 3 4 4" xfId="1163"/>
    <cellStyle name="Total 3 5" xfId="308"/>
    <cellStyle name="Total 3 5 2" xfId="1164"/>
    <cellStyle name="Total 3 5 3" xfId="1165"/>
    <cellStyle name="Total 3 5 4" xfId="1166"/>
    <cellStyle name="Total 3 6" xfId="309"/>
    <cellStyle name="Total 3 6 2" xfId="1167"/>
    <cellStyle name="Total 3 7" xfId="310"/>
    <cellStyle name="Total 3 7 2" xfId="1168"/>
    <cellStyle name="Total 3 8" xfId="311"/>
    <cellStyle name="Total 3 8 2" xfId="1169"/>
    <cellStyle name="Total 3 9" xfId="1170"/>
    <cellStyle name="Total 3 9 2" xfId="1171"/>
    <cellStyle name="Total 4" xfId="157"/>
    <cellStyle name="Total 4 10" xfId="1172"/>
    <cellStyle name="Total 4 11" xfId="1173"/>
    <cellStyle name="Total 4 12" xfId="1174"/>
    <cellStyle name="Total 4 2" xfId="158"/>
    <cellStyle name="Total 4 2 2" xfId="1175"/>
    <cellStyle name="Total 4 2 2 2" xfId="1176"/>
    <cellStyle name="Total 4 2 2 3" xfId="1177"/>
    <cellStyle name="Total 4 2 2 4" xfId="1178"/>
    <cellStyle name="Total 4 2 3" xfId="1179"/>
    <cellStyle name="Total 4 2 3 2" xfId="1180"/>
    <cellStyle name="Total 4 2 3 3" xfId="1181"/>
    <cellStyle name="Total 4 2 4" xfId="1182"/>
    <cellStyle name="Total 4 2 4 2" xfId="1183"/>
    <cellStyle name="Total 4 2 5" xfId="1184"/>
    <cellStyle name="Total 4 2 6" xfId="1185"/>
    <cellStyle name="Total 4 3" xfId="159"/>
    <cellStyle name="Total 4 3 2" xfId="1186"/>
    <cellStyle name="Total 4 3 3" xfId="1187"/>
    <cellStyle name="Total 4 3 4" xfId="1188"/>
    <cellStyle name="Total 4 4" xfId="160"/>
    <cellStyle name="Total 4 4 2" xfId="1189"/>
    <cellStyle name="Total 4 4 3" xfId="1190"/>
    <cellStyle name="Total 4 4 4" xfId="1191"/>
    <cellStyle name="Total 4 5" xfId="312"/>
    <cellStyle name="Total 4 5 2" xfId="1192"/>
    <cellStyle name="Total 4 5 3" xfId="1193"/>
    <cellStyle name="Total 4 5 4" xfId="1194"/>
    <cellStyle name="Total 4 6" xfId="313"/>
    <cellStyle name="Total 4 6 2" xfId="1195"/>
    <cellStyle name="Total 4 7" xfId="314"/>
    <cellStyle name="Total 4 7 2" xfId="1196"/>
    <cellStyle name="Total 4 8" xfId="315"/>
    <cellStyle name="Total 4 8 2" xfId="1197"/>
    <cellStyle name="Total 4 9" xfId="1198"/>
    <cellStyle name="Total 4 9 2" xfId="1199"/>
    <cellStyle name="Total 5" xfId="161"/>
    <cellStyle name="Total 5 10" xfId="1200"/>
    <cellStyle name="Total 5 11" xfId="1201"/>
    <cellStyle name="Total 5 12" xfId="1202"/>
    <cellStyle name="Total 5 2" xfId="162"/>
    <cellStyle name="Total 5 2 2" xfId="1203"/>
    <cellStyle name="Total 5 2 3" xfId="1204"/>
    <cellStyle name="Total 5 2 4" xfId="1205"/>
    <cellStyle name="Total 5 3" xfId="163"/>
    <cellStyle name="Total 5 3 2" xfId="1206"/>
    <cellStyle name="Total 5 3 3" xfId="1207"/>
    <cellStyle name="Total 5 3 4" xfId="1208"/>
    <cellStyle name="Total 5 4" xfId="164"/>
    <cellStyle name="Total 5 4 2" xfId="1209"/>
    <cellStyle name="Total 5 4 3" xfId="1210"/>
    <cellStyle name="Total 5 4 4" xfId="1211"/>
    <cellStyle name="Total 5 5" xfId="316"/>
    <cellStyle name="Total 5 5 2" xfId="1212"/>
    <cellStyle name="Total 5 6" xfId="317"/>
    <cellStyle name="Total 5 6 2" xfId="1213"/>
    <cellStyle name="Total 5 7" xfId="318"/>
    <cellStyle name="Total 5 7 2" xfId="1214"/>
    <cellStyle name="Total 5 8" xfId="319"/>
    <cellStyle name="Total 5 8 2" xfId="1215"/>
    <cellStyle name="Total 5 9" xfId="1216"/>
    <cellStyle name="Total 5 9 2" xfId="1217"/>
    <cellStyle name="Total 6" xfId="165"/>
    <cellStyle name="Total 6 10" xfId="1218"/>
    <cellStyle name="Total 6 11" xfId="1219"/>
    <cellStyle name="Total 6 12" xfId="1220"/>
    <cellStyle name="Total 6 2" xfId="166"/>
    <cellStyle name="Total 6 2 2" xfId="1221"/>
    <cellStyle name="Total 6 2 3" xfId="1222"/>
    <cellStyle name="Total 6 2 4" xfId="1223"/>
    <cellStyle name="Total 6 3" xfId="167"/>
    <cellStyle name="Total 6 3 2" xfId="1224"/>
    <cellStyle name="Total 6 3 3" xfId="1225"/>
    <cellStyle name="Total 6 3 4" xfId="1226"/>
    <cellStyle name="Total 6 4" xfId="168"/>
    <cellStyle name="Total 6 4 2" xfId="1227"/>
    <cellStyle name="Total 6 4 3" xfId="1228"/>
    <cellStyle name="Total 6 4 4" xfId="1229"/>
    <cellStyle name="Total 6 5" xfId="320"/>
    <cellStyle name="Total 6 5 2" xfId="1230"/>
    <cellStyle name="Total 6 6" xfId="321"/>
    <cellStyle name="Total 6 6 2" xfId="1231"/>
    <cellStyle name="Total 6 7" xfId="322"/>
    <cellStyle name="Total 6 7 2" xfId="1232"/>
    <cellStyle name="Total 6 8" xfId="323"/>
    <cellStyle name="Total 6 8 2" xfId="1233"/>
    <cellStyle name="Total 6 9" xfId="1234"/>
    <cellStyle name="Total 6 9 2" xfId="1235"/>
    <cellStyle name="Total 7" xfId="169"/>
    <cellStyle name="Total 7 10" xfId="1236"/>
    <cellStyle name="Total 7 11" xfId="1237"/>
    <cellStyle name="Total 7 12" xfId="1238"/>
    <cellStyle name="Total 7 2" xfId="170"/>
    <cellStyle name="Total 7 2 2" xfId="1239"/>
    <cellStyle name="Total 7 2 3" xfId="1240"/>
    <cellStyle name="Total 7 2 4" xfId="1241"/>
    <cellStyle name="Total 7 3" xfId="171"/>
    <cellStyle name="Total 7 3 2" xfId="1242"/>
    <cellStyle name="Total 7 3 3" xfId="1243"/>
    <cellStyle name="Total 7 3 4" xfId="1244"/>
    <cellStyle name="Total 7 4" xfId="172"/>
    <cellStyle name="Total 7 4 2" xfId="1245"/>
    <cellStyle name="Total 7 4 3" xfId="1246"/>
    <cellStyle name="Total 7 4 4" xfId="1247"/>
    <cellStyle name="Total 7 5" xfId="324"/>
    <cellStyle name="Total 7 5 2" xfId="1248"/>
    <cellStyle name="Total 7 6" xfId="325"/>
    <cellStyle name="Total 7 6 2" xfId="1249"/>
    <cellStyle name="Total 7 7" xfId="326"/>
    <cellStyle name="Total 7 7 2" xfId="1250"/>
    <cellStyle name="Total 7 8" xfId="327"/>
    <cellStyle name="Total 7 8 2" xfId="1251"/>
    <cellStyle name="Total 7 9" xfId="1252"/>
    <cellStyle name="Total 7 9 2" xfId="1253"/>
    <cellStyle name="Total 8" xfId="328"/>
    <cellStyle name="Total 8 10" xfId="1254"/>
    <cellStyle name="Total 8 11" xfId="1255"/>
    <cellStyle name="Total 8 12" xfId="1256"/>
    <cellStyle name="Total 8 2" xfId="329"/>
    <cellStyle name="Total 8 2 2" xfId="1257"/>
    <cellStyle name="Total 8 2 3" xfId="1258"/>
    <cellStyle name="Total 8 2 4" xfId="1259"/>
    <cellStyle name="Total 8 3" xfId="330"/>
    <cellStyle name="Total 8 3 2" xfId="1260"/>
    <cellStyle name="Total 8 3 3" xfId="1261"/>
    <cellStyle name="Total 8 3 4" xfId="1262"/>
    <cellStyle name="Total 8 4" xfId="331"/>
    <cellStyle name="Total 8 4 2" xfId="1263"/>
    <cellStyle name="Total 8 4 3" xfId="1264"/>
    <cellStyle name="Total 8 4 4" xfId="1265"/>
    <cellStyle name="Total 8 5" xfId="332"/>
    <cellStyle name="Total 8 5 2" xfId="1266"/>
    <cellStyle name="Total 8 6" xfId="333"/>
    <cellStyle name="Total 8 6 2" xfId="1267"/>
    <cellStyle name="Total 8 7" xfId="334"/>
    <cellStyle name="Total 8 7 2" xfId="1268"/>
    <cellStyle name="Total 8 8" xfId="335"/>
    <cellStyle name="Total 8 8 2" xfId="1269"/>
    <cellStyle name="Total 8 9" xfId="1270"/>
    <cellStyle name="Total 8 9 2" xfId="1271"/>
    <cellStyle name="Total 9" xfId="1272"/>
    <cellStyle name="Total 9 2" xfId="1273"/>
    <cellStyle name="Total 9 2 2" xfId="1274"/>
    <cellStyle name="Total 9 2 3" xfId="1275"/>
    <cellStyle name="Total 9 3" xfId="1276"/>
    <cellStyle name="Total 9 3 2" xfId="1277"/>
    <cellStyle name="Total 9 4" xfId="1278"/>
    <cellStyle name="Total 9 4 2" xfId="1279"/>
    <cellStyle name="Total 9 5" xfId="1280"/>
    <cellStyle name="Total 9 6" xfId="1281"/>
    <cellStyle name="Vérification 2" xfId="173"/>
  </cellStyles>
  <dxfs count="213">
    <dxf>
      <font>
        <b/>
        <i/>
        <color rgb="FF0070C0"/>
      </font>
    </dxf>
    <dxf>
      <font>
        <b/>
        <i/>
        <color theme="6" tint="-0.24994659260841701"/>
      </font>
    </dxf>
    <dxf>
      <font>
        <b/>
        <i/>
        <color rgb="FF0070C0"/>
      </font>
    </dxf>
    <dxf>
      <font>
        <b/>
        <i/>
        <color theme="6" tint="-0.24994659260841701"/>
      </font>
    </dxf>
    <dxf>
      <font>
        <b/>
        <i/>
        <color rgb="FF0070C0"/>
      </font>
    </dxf>
    <dxf>
      <font>
        <b/>
        <i/>
        <color theme="6" tint="-0.24994659260841701"/>
      </font>
    </dxf>
    <dxf>
      <font>
        <b/>
        <i/>
        <color rgb="FF0070C0"/>
      </font>
    </dxf>
    <dxf>
      <font>
        <b/>
        <i/>
        <color theme="6" tint="-0.24994659260841701"/>
      </font>
    </dxf>
    <dxf>
      <font>
        <b/>
        <i/>
        <color rgb="FF0070C0"/>
      </font>
    </dxf>
    <dxf>
      <font>
        <b/>
        <i/>
        <color theme="6" tint="-0.24994659260841701"/>
      </font>
    </dxf>
    <dxf>
      <font>
        <b/>
        <i val="0"/>
        <color rgb="FF0070C0"/>
      </font>
    </dxf>
    <dxf>
      <font>
        <b/>
        <i val="0"/>
        <color theme="6" tint="-0.24994659260841701"/>
      </font>
    </dxf>
    <dxf>
      <font>
        <b/>
        <i val="0"/>
        <color rgb="FF0070C0"/>
      </font>
    </dxf>
    <dxf>
      <font>
        <b/>
        <i val="0"/>
        <color theme="6" tint="-0.24994659260841701"/>
      </font>
    </dxf>
    <dxf>
      <font>
        <b/>
        <i/>
        <color theme="6" tint="-0.24994659260841701"/>
      </font>
    </dxf>
    <dxf>
      <font>
        <b/>
        <i/>
        <color rgb="FF0070C0"/>
      </font>
    </dxf>
    <dxf>
      <font>
        <b/>
        <i/>
        <color theme="6" tint="-0.24994659260841701"/>
      </font>
    </dxf>
    <dxf>
      <font>
        <b/>
        <i/>
        <color rgb="FF0070C0"/>
      </font>
    </dxf>
    <dxf>
      <font>
        <b/>
        <i/>
        <color theme="6" tint="-0.24994659260841701"/>
      </font>
    </dxf>
    <dxf>
      <font>
        <b/>
        <i/>
        <color rgb="FF0070C0"/>
      </font>
    </dxf>
    <dxf>
      <font>
        <b/>
        <i/>
        <color theme="6" tint="-0.24994659260841701"/>
      </font>
    </dxf>
    <dxf>
      <font>
        <b/>
        <i/>
        <color rgb="FF0070C0"/>
      </font>
    </dxf>
    <dxf>
      <font>
        <b/>
        <i val="0"/>
        <color theme="6" tint="-0.24994659260841701"/>
      </font>
    </dxf>
    <dxf>
      <font>
        <b/>
        <i val="0"/>
        <color rgb="FF0070C0"/>
      </font>
    </dxf>
    <dxf>
      <font>
        <b/>
        <i val="0"/>
        <color theme="6" tint="-0.24994659260841701"/>
      </font>
    </dxf>
    <dxf>
      <font>
        <b/>
        <i val="0"/>
        <color rgb="FF0070C0"/>
      </font>
    </dxf>
    <dxf>
      <font>
        <b/>
        <i val="0"/>
        <color theme="6" tint="-0.24994659260841701"/>
      </font>
    </dxf>
    <dxf>
      <font>
        <b/>
        <i val="0"/>
        <color rgb="FF0070C0"/>
      </font>
    </dxf>
    <dxf>
      <font>
        <b/>
        <i/>
        <color theme="6" tint="-0.24994659260841701"/>
      </font>
    </dxf>
    <dxf>
      <font>
        <b/>
        <i/>
        <color rgb="FF0070C0"/>
      </font>
    </dxf>
    <dxf>
      <font>
        <b/>
        <i/>
        <color theme="6" tint="-0.24994659260841701"/>
      </font>
    </dxf>
    <dxf>
      <font>
        <b/>
        <i/>
        <color rgb="FF0070C0"/>
      </font>
    </dxf>
    <dxf>
      <font>
        <b/>
        <i/>
        <color theme="6" tint="-0.24994659260841701"/>
      </font>
    </dxf>
    <dxf>
      <font>
        <b/>
        <i/>
        <color rgb="FF0070C0"/>
      </font>
    </dxf>
    <dxf>
      <font>
        <b/>
        <i/>
        <color theme="6" tint="-0.24994659260841701"/>
      </font>
    </dxf>
    <dxf>
      <font>
        <b/>
        <i/>
        <color rgb="FF0070C0"/>
      </font>
    </dxf>
    <dxf>
      <font>
        <b/>
        <i val="0"/>
        <color theme="6" tint="-0.24994659260841701"/>
      </font>
    </dxf>
    <dxf>
      <font>
        <b/>
        <i val="0"/>
        <color rgb="FF0070C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6" tint="-0.24994659260841701"/>
      </font>
    </dxf>
    <dxf>
      <font>
        <b/>
        <i val="0"/>
        <color rgb="FF0070C0"/>
      </font>
    </dxf>
    <dxf>
      <font>
        <b/>
        <i val="0"/>
        <color theme="6" tint="-0.24994659260841701"/>
      </font>
    </dxf>
    <dxf>
      <font>
        <b/>
        <i val="0"/>
        <color rgb="FF0070C0"/>
      </font>
    </dxf>
    <dxf>
      <font>
        <b/>
        <i val="0"/>
        <color theme="6" tint="-0.24994659260841701"/>
      </font>
    </dxf>
    <dxf>
      <font>
        <b/>
        <i val="0"/>
        <color rgb="FF0070C0"/>
      </font>
    </dxf>
    <dxf>
      <font>
        <b/>
        <i val="0"/>
        <color theme="6" tint="-0.24994659260841701"/>
      </font>
    </dxf>
    <dxf>
      <font>
        <b/>
        <i val="0"/>
        <color rgb="FF0070C0"/>
      </font>
    </dxf>
    <dxf>
      <font>
        <b/>
        <i val="0"/>
        <color theme="6" tint="-0.24994659260841701"/>
      </font>
    </dxf>
    <dxf>
      <font>
        <b/>
        <i val="0"/>
        <color rgb="FF0070C0"/>
      </font>
    </dxf>
    <dxf>
      <font>
        <b/>
        <i val="0"/>
        <color theme="6" tint="-0.24994659260841701"/>
      </font>
    </dxf>
    <dxf>
      <font>
        <b/>
        <i val="0"/>
        <color rgb="FF0070C0"/>
      </font>
    </dxf>
    <dxf>
      <font>
        <b/>
        <i val="0"/>
        <color theme="6" tint="-0.24994659260841701"/>
      </font>
    </dxf>
    <dxf>
      <font>
        <b/>
        <i val="0"/>
        <color rgb="FF0070C0"/>
      </font>
    </dxf>
    <dxf>
      <font>
        <b/>
        <i val="0"/>
        <color theme="6" tint="-0.24994659260841701"/>
      </font>
    </dxf>
    <dxf>
      <font>
        <b/>
        <i val="0"/>
        <color rgb="FF0070C0"/>
      </font>
    </dxf>
    <dxf>
      <font>
        <b/>
        <i val="0"/>
        <color theme="6" tint="-0.24994659260841701"/>
      </font>
    </dxf>
    <dxf>
      <font>
        <b/>
        <i val="0"/>
        <color rgb="FF0070C0"/>
      </font>
    </dxf>
    <dxf>
      <font>
        <b/>
        <i val="0"/>
        <color theme="6" tint="-0.24994659260841701"/>
      </font>
    </dxf>
    <dxf>
      <font>
        <b/>
        <i val="0"/>
        <color rgb="FF0070C0"/>
      </font>
    </dxf>
    <dxf>
      <font>
        <b/>
        <i val="0"/>
        <color theme="6" tint="-0.24994659260841701"/>
      </font>
    </dxf>
    <dxf>
      <font>
        <b/>
        <i val="0"/>
        <color rgb="FF0070C0"/>
      </font>
    </dxf>
    <dxf>
      <font>
        <b/>
        <i val="0"/>
        <color theme="6" tint="-0.24994659260841701"/>
      </font>
    </dxf>
    <dxf>
      <font>
        <b/>
        <i val="0"/>
        <color rgb="FF0070C0"/>
      </font>
    </dxf>
    <dxf>
      <font>
        <b/>
        <i val="0"/>
        <color theme="6" tint="-0.24994659260841701"/>
      </font>
    </dxf>
    <dxf>
      <font>
        <b/>
        <i val="0"/>
        <color rgb="FF0070C0"/>
      </font>
    </dxf>
    <dxf>
      <font>
        <b/>
        <i val="0"/>
        <color theme="6" tint="-0.24994659260841701"/>
      </font>
    </dxf>
    <dxf>
      <font>
        <b/>
        <i val="0"/>
        <color rgb="FF0070C0"/>
      </font>
    </dxf>
    <dxf>
      <font>
        <b/>
        <i val="0"/>
        <color theme="6" tint="-0.24994659260841701"/>
      </font>
    </dxf>
    <dxf>
      <font>
        <b/>
        <i val="0"/>
        <color rgb="FF0070C0"/>
      </font>
    </dxf>
    <dxf>
      <font>
        <b/>
        <i val="0"/>
        <color theme="6" tint="-0.24994659260841701"/>
      </font>
    </dxf>
    <dxf>
      <font>
        <b/>
        <i val="0"/>
        <color rgb="FF0070C0"/>
      </font>
    </dxf>
    <dxf>
      <font>
        <b/>
        <i val="0"/>
        <color theme="6" tint="-0.24994659260841701"/>
      </font>
    </dxf>
    <dxf>
      <font>
        <b/>
        <i val="0"/>
        <color rgb="FF0070C0"/>
      </font>
    </dxf>
    <dxf>
      <font>
        <b/>
        <i val="0"/>
        <color theme="6" tint="-0.24994659260841701"/>
      </font>
    </dxf>
    <dxf>
      <font>
        <b/>
        <i val="0"/>
        <color rgb="FF0070C0"/>
      </font>
    </dxf>
    <dxf>
      <font>
        <b/>
        <i val="0"/>
        <color theme="6" tint="-0.24994659260841701"/>
      </font>
    </dxf>
    <dxf>
      <font>
        <b/>
        <i val="0"/>
        <color rgb="FF0070C0"/>
      </font>
    </dxf>
    <dxf>
      <font>
        <b/>
        <i val="0"/>
        <color theme="6" tint="-0.24994659260841701"/>
      </font>
    </dxf>
    <dxf>
      <font>
        <b/>
        <i val="0"/>
        <color rgb="FF0070C0"/>
      </font>
    </dxf>
    <dxf>
      <font>
        <b/>
        <i val="0"/>
        <color theme="6" tint="-0.24994659260841701"/>
      </font>
    </dxf>
    <dxf>
      <font>
        <b/>
        <i val="0"/>
        <color rgb="FF0070C0"/>
      </font>
    </dxf>
    <dxf>
      <font>
        <b/>
        <i val="0"/>
        <color theme="6" tint="-0.24994659260841701"/>
      </font>
    </dxf>
    <dxf>
      <font>
        <b/>
        <i val="0"/>
        <color rgb="FF0070C0"/>
      </font>
    </dxf>
    <dxf>
      <font>
        <b/>
        <i val="0"/>
        <color theme="6" tint="-0.24994659260841701"/>
      </font>
    </dxf>
    <dxf>
      <font>
        <b/>
        <i val="0"/>
        <color rgb="FF0070C0"/>
      </font>
    </dxf>
    <dxf>
      <font>
        <b/>
        <i val="0"/>
        <color theme="6" tint="-0.24994659260841701"/>
      </font>
    </dxf>
    <dxf>
      <font>
        <b/>
        <i val="0"/>
        <color rgb="FF0070C0"/>
      </font>
    </dxf>
    <dxf>
      <font>
        <b/>
        <i val="0"/>
        <color theme="6" tint="-0.24994659260841701"/>
      </font>
    </dxf>
    <dxf>
      <font>
        <b/>
        <i val="0"/>
        <color rgb="FF0070C0"/>
      </font>
    </dxf>
    <dxf>
      <font>
        <b/>
        <i val="0"/>
        <color theme="6" tint="-0.24994659260841701"/>
      </font>
    </dxf>
    <dxf>
      <font>
        <b/>
        <i val="0"/>
        <color rgb="FF0070C0"/>
      </font>
    </dxf>
    <dxf>
      <font>
        <b/>
        <i val="0"/>
        <color theme="6" tint="-0.24994659260841701"/>
      </font>
      <fill>
        <patternFill>
          <bgColor theme="9" tint="0.79998168889431442"/>
        </patternFill>
      </fill>
    </dxf>
    <dxf>
      <font>
        <b/>
        <i val="0"/>
        <color theme="6" tint="-0.24994659260841701"/>
      </font>
      <fill>
        <patternFill>
          <bgColor theme="9" tint="0.79998168889431442"/>
        </patternFill>
      </fill>
    </dxf>
    <dxf>
      <font>
        <b/>
        <i val="0"/>
        <color theme="6" tint="-0.24994659260841701"/>
      </font>
      <fill>
        <patternFill>
          <bgColor theme="9" tint="0.79998168889431442"/>
        </patternFill>
      </fill>
    </dxf>
    <dxf>
      <font>
        <b/>
        <i val="0"/>
        <color theme="6" tint="-0.24994659260841701"/>
      </font>
      <fill>
        <patternFill>
          <bgColor theme="9" tint="0.79998168889431442"/>
        </patternFill>
      </fill>
    </dxf>
    <dxf>
      <font>
        <b/>
        <i val="0"/>
        <color theme="6" tint="-0.24994659260841701"/>
      </font>
      <fill>
        <patternFill>
          <bgColor theme="9" tint="0.79998168889431442"/>
        </patternFill>
      </fill>
    </dxf>
    <dxf>
      <font>
        <b/>
        <i val="0"/>
        <color theme="6" tint="-0.24994659260841701"/>
      </font>
      <fill>
        <patternFill>
          <bgColor theme="9" tint="0.79998168889431442"/>
        </patternFill>
      </fill>
    </dxf>
    <dxf>
      <font>
        <b/>
        <i val="0"/>
        <color theme="6" tint="-0.24994659260841701"/>
      </font>
      <fill>
        <patternFill>
          <bgColor theme="9" tint="0.79998168889431442"/>
        </patternFill>
      </fill>
    </dxf>
    <dxf>
      <font>
        <b/>
        <i val="0"/>
        <color theme="6" tint="-0.24994659260841701"/>
      </font>
      <fill>
        <patternFill>
          <bgColor theme="9" tint="0.79998168889431442"/>
        </patternFill>
      </fill>
    </dxf>
    <dxf>
      <font>
        <b/>
        <i val="0"/>
        <color theme="6" tint="-0.24994659260841701"/>
      </font>
      <fill>
        <patternFill>
          <bgColor theme="9" tint="0.79998168889431442"/>
        </patternFill>
      </fill>
    </dxf>
    <dxf>
      <font>
        <b val="0"/>
        <i val="0"/>
        <color auto="1"/>
      </font>
      <fill>
        <patternFill>
          <bgColor rgb="FFD1EBFF"/>
        </patternFill>
      </fill>
    </dxf>
    <dxf>
      <font>
        <b/>
        <i val="0"/>
        <color theme="6" tint="-0.24994659260841701"/>
      </font>
      <fill>
        <patternFill>
          <bgColor theme="9" tint="0.79998168889431442"/>
        </patternFill>
      </fill>
    </dxf>
    <dxf>
      <font>
        <b val="0"/>
        <i val="0"/>
        <color auto="1"/>
      </font>
      <fill>
        <patternFill>
          <bgColor rgb="FFD1EBFF"/>
        </patternFill>
      </fill>
    </dxf>
    <dxf>
      <font>
        <b/>
        <i val="0"/>
        <color theme="6" tint="-0.24994659260841701"/>
      </font>
      <fill>
        <patternFill>
          <bgColor theme="9" tint="0.79998168889431442"/>
        </patternFill>
      </fill>
    </dxf>
    <dxf>
      <font>
        <b/>
        <i val="0"/>
        <color theme="6" tint="-0.24994659260841701"/>
      </font>
      <fill>
        <patternFill>
          <bgColor theme="9" tint="0.79998168889431442"/>
        </patternFill>
      </fill>
    </dxf>
    <dxf>
      <font>
        <b/>
        <i val="0"/>
        <color theme="6" tint="-0.24994659260841701"/>
      </font>
      <fill>
        <patternFill>
          <bgColor theme="9" tint="0.79998168889431442"/>
        </patternFill>
      </fill>
    </dxf>
    <dxf>
      <font>
        <b/>
        <i val="0"/>
        <color theme="6" tint="-0.24994659260841701"/>
      </font>
      <fill>
        <patternFill>
          <bgColor theme="9" tint="0.79998168889431442"/>
        </patternFill>
      </fill>
    </dxf>
    <dxf>
      <font>
        <b/>
        <i val="0"/>
        <color theme="6" tint="-0.24994659260841701"/>
      </font>
      <fill>
        <patternFill>
          <bgColor theme="9" tint="0.79998168889431442"/>
        </patternFill>
      </fill>
    </dxf>
    <dxf>
      <font>
        <b/>
        <i val="0"/>
        <color theme="6" tint="-0.24994659260841701"/>
      </font>
      <fill>
        <patternFill>
          <bgColor theme="9" tint="0.79998168889431442"/>
        </patternFill>
      </fill>
    </dxf>
    <dxf>
      <font>
        <b/>
        <i val="0"/>
        <color theme="6" tint="-0.24994659260841701"/>
      </font>
      <fill>
        <patternFill>
          <bgColor theme="9" tint="0.79998168889431442"/>
        </patternFill>
      </fill>
    </dxf>
    <dxf>
      <font>
        <b/>
        <i val="0"/>
        <color theme="6" tint="-0.24994659260841701"/>
      </font>
      <fill>
        <patternFill>
          <bgColor theme="9" tint="0.79998168889431442"/>
        </patternFill>
      </fill>
    </dxf>
    <dxf>
      <font>
        <b/>
        <i val="0"/>
        <color theme="6" tint="-0.24994659260841701"/>
      </font>
      <fill>
        <patternFill>
          <bgColor theme="9" tint="0.79998168889431442"/>
        </patternFill>
      </fill>
    </dxf>
    <dxf>
      <font>
        <b/>
        <i val="0"/>
        <color theme="6" tint="-0.24994659260841701"/>
      </font>
      <fill>
        <patternFill>
          <bgColor theme="9" tint="0.79998168889431442"/>
        </patternFill>
      </fill>
    </dxf>
    <dxf>
      <font>
        <b val="0"/>
        <i val="0"/>
        <color auto="1"/>
      </font>
      <fill>
        <patternFill>
          <bgColor rgb="FFD1EBFF"/>
        </patternFill>
      </fill>
    </dxf>
    <dxf>
      <font>
        <b/>
        <i val="0"/>
        <color theme="6" tint="-0.24994659260841701"/>
      </font>
    </dxf>
    <dxf>
      <font>
        <b/>
        <i val="0"/>
        <color rgb="FF0070C0"/>
      </font>
    </dxf>
    <dxf>
      <font>
        <b/>
        <i val="0"/>
        <color theme="6" tint="-0.24994659260841701"/>
      </font>
    </dxf>
    <dxf>
      <font>
        <b/>
        <i val="0"/>
        <color rgb="FF0070C0"/>
      </font>
    </dxf>
    <dxf>
      <font>
        <b/>
        <i val="0"/>
        <color theme="6" tint="-0.24994659260841701"/>
      </font>
    </dxf>
    <dxf>
      <font>
        <b/>
        <i val="0"/>
        <color rgb="FF0070C0"/>
      </font>
    </dxf>
    <dxf>
      <font>
        <b/>
        <i val="0"/>
        <color theme="6" tint="-0.24994659260841701"/>
      </font>
    </dxf>
    <dxf>
      <font>
        <b/>
        <i val="0"/>
        <color rgb="FF0070C0"/>
      </font>
    </dxf>
    <dxf>
      <font>
        <b/>
        <i val="0"/>
        <color theme="6" tint="-0.24994659260841701"/>
      </font>
    </dxf>
    <dxf>
      <font>
        <b/>
        <i val="0"/>
        <color rgb="FF0070C0"/>
      </font>
    </dxf>
    <dxf>
      <font>
        <b/>
        <i val="0"/>
        <color theme="6" tint="-0.24994659260841701"/>
      </font>
    </dxf>
    <dxf>
      <font>
        <b/>
        <i val="0"/>
        <color rgb="FF0070C0"/>
      </font>
    </dxf>
    <dxf>
      <font>
        <b/>
        <i val="0"/>
        <color theme="6" tint="-0.24994659260841701"/>
      </font>
    </dxf>
    <dxf>
      <font>
        <b/>
        <i val="0"/>
        <color rgb="FF0070C0"/>
      </font>
    </dxf>
    <dxf>
      <font>
        <b/>
        <i val="0"/>
        <color theme="6" tint="-0.24994659260841701"/>
      </font>
    </dxf>
    <dxf>
      <font>
        <b/>
        <i val="0"/>
        <color rgb="FF0070C0"/>
      </font>
    </dxf>
    <dxf>
      <font>
        <b/>
        <i val="0"/>
        <color theme="6" tint="-0.24994659260841701"/>
      </font>
    </dxf>
    <dxf>
      <font>
        <b/>
        <i val="0"/>
        <color rgb="FF0070C0"/>
      </font>
    </dxf>
    <dxf>
      <font>
        <b/>
        <i val="0"/>
        <color theme="6" tint="-0.24994659260841701"/>
      </font>
    </dxf>
    <dxf>
      <font>
        <b/>
        <i val="0"/>
        <color rgb="FF0070C0"/>
      </font>
    </dxf>
    <dxf>
      <font>
        <b/>
        <i val="0"/>
        <color theme="6" tint="-0.24994659260841701"/>
      </font>
    </dxf>
    <dxf>
      <font>
        <b/>
        <i val="0"/>
        <color rgb="FF0070C0"/>
      </font>
    </dxf>
    <dxf>
      <font>
        <b/>
        <i val="0"/>
        <color theme="6" tint="-0.24994659260841701"/>
      </font>
    </dxf>
    <dxf>
      <font>
        <b/>
        <i val="0"/>
        <color rgb="FF0070C0"/>
      </font>
    </dxf>
    <dxf>
      <font>
        <b/>
        <i val="0"/>
        <color theme="6" tint="-0.24994659260841701"/>
      </font>
    </dxf>
    <dxf>
      <font>
        <b/>
        <i val="0"/>
        <color rgb="FF0070C0"/>
      </font>
    </dxf>
    <dxf>
      <font>
        <b/>
        <i val="0"/>
        <color theme="6" tint="-0.24994659260841701"/>
      </font>
    </dxf>
    <dxf>
      <font>
        <b/>
        <i val="0"/>
        <color rgb="FF0070C0"/>
      </font>
    </dxf>
    <dxf>
      <font>
        <b/>
        <i val="0"/>
        <color theme="6" tint="-0.24994659260841701"/>
      </font>
    </dxf>
    <dxf>
      <font>
        <b/>
        <i val="0"/>
        <color rgb="FF0070C0"/>
      </font>
    </dxf>
    <dxf>
      <font>
        <b/>
        <i val="0"/>
        <color theme="6" tint="-0.24994659260841701"/>
      </font>
    </dxf>
    <dxf>
      <font>
        <b/>
        <i val="0"/>
        <color rgb="FF0070C0"/>
      </font>
    </dxf>
    <dxf>
      <font>
        <b/>
        <i val="0"/>
        <color theme="6" tint="-0.24994659260841701"/>
      </font>
    </dxf>
    <dxf>
      <font>
        <b/>
        <i val="0"/>
        <color rgb="FF0070C0"/>
      </font>
    </dxf>
    <dxf>
      <font>
        <b/>
        <i val="0"/>
        <color theme="6" tint="-0.24994659260841701"/>
      </font>
    </dxf>
    <dxf>
      <font>
        <b/>
        <i val="0"/>
        <color rgb="FF0070C0"/>
      </font>
    </dxf>
    <dxf>
      <font>
        <b/>
        <i val="0"/>
        <color theme="6" tint="-0.24994659260841701"/>
      </font>
    </dxf>
    <dxf>
      <font>
        <b/>
        <i val="0"/>
        <color rgb="FF0070C0"/>
      </font>
    </dxf>
    <dxf>
      <font>
        <b/>
        <i val="0"/>
        <color theme="6" tint="-0.24994659260841701"/>
      </font>
    </dxf>
    <dxf>
      <font>
        <b/>
        <i val="0"/>
        <color rgb="FF0070C0"/>
      </font>
    </dxf>
    <dxf>
      <font>
        <b/>
        <i val="0"/>
        <color theme="6" tint="-0.24994659260841701"/>
      </font>
    </dxf>
    <dxf>
      <font>
        <b/>
        <i val="0"/>
        <color rgb="FF0070C0"/>
      </font>
    </dxf>
    <dxf>
      <font>
        <b/>
        <i val="0"/>
        <color theme="6" tint="-0.24994659260841701"/>
      </font>
    </dxf>
    <dxf>
      <font>
        <b/>
        <i val="0"/>
        <color rgb="FF0070C0"/>
      </font>
    </dxf>
    <dxf>
      <font>
        <b/>
        <i val="0"/>
        <color theme="6" tint="-0.24994659260841701"/>
      </font>
    </dxf>
    <dxf>
      <font>
        <b/>
        <i val="0"/>
        <color rgb="FF0070C0"/>
      </font>
    </dxf>
    <dxf>
      <font>
        <b/>
        <i val="0"/>
        <color theme="6" tint="-0.24994659260841701"/>
      </font>
    </dxf>
    <dxf>
      <font>
        <b/>
        <i val="0"/>
        <color rgb="FF0070C0"/>
      </font>
    </dxf>
    <dxf>
      <font>
        <b/>
        <i val="0"/>
        <color theme="6" tint="-0.24994659260841701"/>
      </font>
    </dxf>
    <dxf>
      <font>
        <b/>
        <i val="0"/>
        <color rgb="FF0070C0"/>
      </font>
    </dxf>
    <dxf>
      <font>
        <b/>
        <i val="0"/>
        <color theme="6" tint="-0.24994659260841701"/>
      </font>
    </dxf>
    <dxf>
      <font>
        <b/>
        <i val="0"/>
        <color rgb="FF0070C0"/>
      </font>
    </dxf>
    <dxf>
      <font>
        <b/>
        <i val="0"/>
        <color theme="6" tint="-0.24994659260841701"/>
      </font>
    </dxf>
    <dxf>
      <font>
        <b/>
        <i val="0"/>
        <color rgb="FF0070C0"/>
      </font>
    </dxf>
    <dxf>
      <font>
        <b/>
        <i val="0"/>
        <color theme="6" tint="-0.24994659260841701"/>
      </font>
    </dxf>
    <dxf>
      <font>
        <b/>
        <i val="0"/>
        <color rgb="FF0070C0"/>
      </font>
    </dxf>
    <dxf>
      <font>
        <b/>
        <i val="0"/>
        <color theme="6" tint="-0.24994659260841701"/>
      </font>
    </dxf>
    <dxf>
      <font>
        <b/>
        <i val="0"/>
        <color rgb="FF0070C0"/>
      </font>
    </dxf>
    <dxf>
      <font>
        <b/>
        <i val="0"/>
        <color theme="6" tint="-0.24994659260841701"/>
      </font>
    </dxf>
    <dxf>
      <font>
        <b/>
        <i val="0"/>
        <color rgb="FF0070C0"/>
      </font>
    </dxf>
    <dxf>
      <font>
        <b/>
        <i val="0"/>
        <color theme="6" tint="-0.24994659260841701"/>
      </font>
    </dxf>
    <dxf>
      <font>
        <b/>
        <i val="0"/>
        <color rgb="FF0070C0"/>
      </font>
    </dxf>
    <dxf>
      <font>
        <b/>
        <i val="0"/>
        <color theme="6" tint="-0.24994659260841701"/>
      </font>
    </dxf>
    <dxf>
      <font>
        <b/>
        <i val="0"/>
        <color rgb="FF0070C0"/>
      </font>
    </dxf>
    <dxf>
      <font>
        <b/>
        <i val="0"/>
        <color theme="6" tint="-0.24994659260841701"/>
      </font>
    </dxf>
    <dxf>
      <font>
        <b/>
        <i val="0"/>
        <color rgb="FF0070C0"/>
      </font>
    </dxf>
    <dxf>
      <font>
        <b/>
        <i val="0"/>
        <color theme="6" tint="-0.24994659260841701"/>
      </font>
    </dxf>
    <dxf>
      <font>
        <b/>
        <i val="0"/>
        <color rgb="FF0070C0"/>
      </font>
    </dxf>
    <dxf>
      <font>
        <b/>
        <i val="0"/>
        <color theme="6" tint="-0.24994659260841701"/>
      </font>
    </dxf>
    <dxf>
      <font>
        <b/>
        <i val="0"/>
        <color rgb="FF0070C0"/>
      </font>
    </dxf>
    <dxf>
      <font>
        <b/>
        <i val="0"/>
        <color theme="6" tint="-0.24994659260841701"/>
      </font>
    </dxf>
    <dxf>
      <font>
        <b/>
        <i val="0"/>
        <color rgb="FF0070C0"/>
      </font>
    </dxf>
    <dxf>
      <font>
        <b/>
        <i val="0"/>
        <color theme="6" tint="-0.24994659260841701"/>
      </font>
    </dxf>
    <dxf>
      <font>
        <b/>
        <i val="0"/>
        <color rgb="FF0070C0"/>
      </font>
    </dxf>
    <dxf>
      <font>
        <b/>
        <i val="0"/>
        <color theme="6" tint="-0.24994659260841701"/>
      </font>
    </dxf>
    <dxf>
      <font>
        <b/>
        <i val="0"/>
        <color rgb="FF0070C0"/>
      </font>
    </dxf>
    <dxf>
      <font>
        <b/>
        <i val="0"/>
        <color theme="6" tint="-0.24994659260841701"/>
      </font>
    </dxf>
    <dxf>
      <font>
        <b/>
        <i val="0"/>
        <color rgb="FF0070C0"/>
      </font>
    </dxf>
    <dxf>
      <font>
        <b/>
        <i val="0"/>
        <color theme="6" tint="-0.24994659260841701"/>
      </font>
    </dxf>
    <dxf>
      <font>
        <b/>
        <i val="0"/>
        <color rgb="FF0070C0"/>
      </font>
    </dxf>
    <dxf>
      <font>
        <b/>
        <i val="0"/>
        <color theme="6" tint="-0.24994659260841701"/>
      </font>
    </dxf>
    <dxf>
      <font>
        <b/>
        <i val="0"/>
        <color rgb="FF0070C0"/>
      </font>
    </dxf>
    <dxf>
      <font>
        <b/>
        <i val="0"/>
        <color theme="6" tint="-0.24994659260841701"/>
      </font>
    </dxf>
    <dxf>
      <font>
        <b/>
        <i val="0"/>
        <color rgb="FF0070C0"/>
      </font>
    </dxf>
    <dxf>
      <font>
        <b/>
        <i val="0"/>
        <color theme="6" tint="-0.24994659260841701"/>
      </font>
    </dxf>
    <dxf>
      <font>
        <b/>
        <i val="0"/>
        <color rgb="FF0070C0"/>
      </font>
    </dxf>
    <dxf>
      <font>
        <b/>
        <i val="0"/>
        <color theme="6" tint="-0.24994659260841701"/>
      </font>
    </dxf>
    <dxf>
      <font>
        <b/>
        <i val="0"/>
        <color rgb="FF0070C0"/>
      </font>
    </dxf>
    <dxf>
      <font>
        <b/>
        <i val="0"/>
        <color theme="6" tint="-0.24994659260841701"/>
      </font>
    </dxf>
    <dxf>
      <font>
        <b/>
        <i val="0"/>
        <color rgb="FF0070C0"/>
      </font>
    </dxf>
    <dxf>
      <font>
        <b/>
        <i val="0"/>
        <color theme="6" tint="-0.24994659260841701"/>
      </font>
    </dxf>
    <dxf>
      <font>
        <b/>
        <i val="0"/>
        <color rgb="FF0070C0"/>
      </font>
    </dxf>
    <dxf>
      <font>
        <b/>
        <i val="0"/>
        <color theme="6" tint="-0.24994659260841701"/>
      </font>
    </dxf>
    <dxf>
      <font>
        <b/>
        <i val="0"/>
        <color rgb="FF0070C0"/>
      </font>
    </dxf>
    <dxf>
      <font>
        <b/>
        <i val="0"/>
        <color theme="6" tint="-0.24994659260841701"/>
      </font>
    </dxf>
    <dxf>
      <font>
        <b/>
        <i val="0"/>
        <color rgb="FF0070C0"/>
      </font>
    </dxf>
    <dxf>
      <font>
        <b/>
        <i val="0"/>
        <color theme="6" tint="-0.24994659260841701"/>
      </font>
    </dxf>
    <dxf>
      <font>
        <b/>
        <i val="0"/>
        <color rgb="FF0070C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2.xml"/><Relationship Id="rId39" Type="http://schemas.openxmlformats.org/officeDocument/2006/relationships/externalLink" Target="externalLinks/externalLink15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10.xml"/><Relationship Id="rId42" Type="http://schemas.openxmlformats.org/officeDocument/2006/relationships/externalLink" Target="externalLinks/externalLink18.xml"/><Relationship Id="rId47" Type="http://schemas.openxmlformats.org/officeDocument/2006/relationships/calcChain" Target="calcChain.xml"/><Relationship Id="rId50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externalLink" Target="externalLinks/externalLink5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8.xml"/><Relationship Id="rId37" Type="http://schemas.openxmlformats.org/officeDocument/2006/relationships/externalLink" Target="externalLinks/externalLink13.xml"/><Relationship Id="rId40" Type="http://schemas.openxmlformats.org/officeDocument/2006/relationships/externalLink" Target="externalLinks/externalLink16.xml"/><Relationship Id="rId45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4.xml"/><Relationship Id="rId36" Type="http://schemas.openxmlformats.org/officeDocument/2006/relationships/externalLink" Target="externalLinks/externalLink12.xml"/><Relationship Id="rId49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7.xml"/><Relationship Id="rId44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3.xml"/><Relationship Id="rId30" Type="http://schemas.openxmlformats.org/officeDocument/2006/relationships/externalLink" Target="externalLinks/externalLink6.xml"/><Relationship Id="rId35" Type="http://schemas.openxmlformats.org/officeDocument/2006/relationships/externalLink" Target="externalLinks/externalLink11.xml"/><Relationship Id="rId43" Type="http://schemas.openxmlformats.org/officeDocument/2006/relationships/externalLink" Target="externalLinks/externalLink19.xml"/><Relationship Id="rId48" Type="http://schemas.openxmlformats.org/officeDocument/2006/relationships/customXml" Target="../customXml/item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33" Type="http://schemas.openxmlformats.org/officeDocument/2006/relationships/externalLink" Target="externalLinks/externalLink9.xml"/><Relationship Id="rId38" Type="http://schemas.openxmlformats.org/officeDocument/2006/relationships/externalLink" Target="externalLinks/externalLink14.xml"/><Relationship Id="rId46" Type="http://schemas.openxmlformats.org/officeDocument/2006/relationships/sharedStrings" Target="sharedStrings.xml"/><Relationship Id="rId20" Type="http://schemas.openxmlformats.org/officeDocument/2006/relationships/worksheet" Target="worksheets/sheet20.xml"/><Relationship Id="rId41" Type="http://schemas.openxmlformats.org/officeDocument/2006/relationships/externalLink" Target="externalLinks/externalLink17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/>
          <a:lstStyle/>
          <a:p>
            <a:pPr>
              <a:defRPr sz="1050"/>
            </a:pPr>
            <a:r>
              <a:rPr lang="fr-FR" sz="1050"/>
              <a:t>Composition moyenne des OMR</a:t>
            </a:r>
          </a:p>
          <a:p>
            <a:pPr>
              <a:defRPr sz="1050"/>
            </a:pPr>
            <a:r>
              <a:rPr lang="fr-FR" sz="1050" i="1"/>
              <a:t>été 2015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'Synthèse PB'!$X$96</c:f>
              <c:strCache>
                <c:ptCount val="1"/>
                <c:pt idx="0">
                  <c:v>Syctom E15</c:v>
                </c:pt>
              </c:strCache>
            </c:strRef>
          </c:tx>
          <c:invertIfNegative val="0"/>
          <c:errBars>
            <c:errBarType val="both"/>
            <c:errValType val="cust"/>
            <c:noEndCap val="0"/>
            <c:plus>
              <c:numRef>
                <c:f>'Synthèse PB'!$P$75:$P$87</c:f>
                <c:numCache>
                  <c:formatCode>General</c:formatCode>
                  <c:ptCount val="13"/>
                  <c:pt idx="0">
                    <c:v>0.22620577953815341</c:v>
                  </c:pt>
                  <c:pt idx="1">
                    <c:v>9.1097183910370069E-2</c:v>
                  </c:pt>
                  <c:pt idx="2">
                    <c:v>3.0693616707295812E-2</c:v>
                  </c:pt>
                  <c:pt idx="3">
                    <c:v>2.1689909467816303E-2</c:v>
                  </c:pt>
                  <c:pt idx="4">
                    <c:v>3.1423371851635608E-2</c:v>
                  </c:pt>
                  <c:pt idx="5">
                    <c:v>5.8736878706056095E-2</c:v>
                  </c:pt>
                  <c:pt idx="6">
                    <c:v>6.4007019842853036E-2</c:v>
                  </c:pt>
                  <c:pt idx="7">
                    <c:v>3.0580128919994877E-2</c:v>
                  </c:pt>
                  <c:pt idx="8">
                    <c:v>0.11117874697213889</c:v>
                  </c:pt>
                  <c:pt idx="9">
                    <c:v>7.5369380626672811E-3</c:v>
                  </c:pt>
                  <c:pt idx="10">
                    <c:v>3.4863879442654219E-2</c:v>
                  </c:pt>
                  <c:pt idx="11">
                    <c:v>8.7009296517291598E-3</c:v>
                  </c:pt>
                  <c:pt idx="12">
                    <c:v>3.6735588836742578E-2</c:v>
                  </c:pt>
                </c:numCache>
              </c:numRef>
            </c:plus>
            <c:minus>
              <c:numRef>
                <c:f>'Synthèse PB'!$O$75:$O$87</c:f>
                <c:numCache>
                  <c:formatCode>General</c:formatCode>
                  <c:ptCount val="13"/>
                  <c:pt idx="0">
                    <c:v>0.15484155968868196</c:v>
                  </c:pt>
                  <c:pt idx="1">
                    <c:v>4.6930383854927399E-2</c:v>
                  </c:pt>
                  <c:pt idx="2">
                    <c:v>2.2259379831087341E-2</c:v>
                  </c:pt>
                  <c:pt idx="3">
                    <c:v>1.0404253786363813E-2</c:v>
                  </c:pt>
                  <c:pt idx="4">
                    <c:v>2.3554570923952724E-2</c:v>
                  </c:pt>
                  <c:pt idx="5">
                    <c:v>5.3299576367002069E-2</c:v>
                  </c:pt>
                  <c:pt idx="6">
                    <c:v>8.75303879820504E-2</c:v>
                  </c:pt>
                  <c:pt idx="7">
                    <c:v>2.2835430294540153E-2</c:v>
                  </c:pt>
                  <c:pt idx="8">
                    <c:v>5.1411780676360069E-2</c:v>
                  </c:pt>
                  <c:pt idx="9">
                    <c:v>2.0120139711986215E-2</c:v>
                  </c:pt>
                  <c:pt idx="10">
                    <c:v>1.8014120719635957E-2</c:v>
                  </c:pt>
                  <c:pt idx="11">
                    <c:v>2.2990703482708404E-3</c:v>
                  </c:pt>
                  <c:pt idx="12">
                    <c:v>2.4677094220390668E-2</c:v>
                  </c:pt>
                </c:numCache>
              </c:numRef>
            </c:minus>
            <c:spPr>
              <a:ln w="15875">
                <a:solidFill>
                  <a:srgbClr val="FF0000"/>
                </a:solidFill>
              </a:ln>
            </c:spPr>
          </c:errBars>
          <c:cat>
            <c:strRef>
              <c:f>'[9]Synthèse PB'!$B$68:$B$80</c:f>
              <c:strCache>
                <c:ptCount val="13"/>
                <c:pt idx="0">
                  <c:v>Déchets Putrescibles</c:v>
                </c:pt>
                <c:pt idx="1">
                  <c:v>Papiers</c:v>
                </c:pt>
                <c:pt idx="2">
                  <c:v>Cartons</c:v>
                </c:pt>
                <c:pt idx="3">
                  <c:v>Composites</c:v>
                </c:pt>
                <c:pt idx="4">
                  <c:v>Textiles </c:v>
                </c:pt>
                <c:pt idx="5">
                  <c:v>Textiles sanitaires</c:v>
                </c:pt>
                <c:pt idx="6">
                  <c:v>Plastiques</c:v>
                </c:pt>
                <c:pt idx="7">
                  <c:v>Combustibles non classés</c:v>
                </c:pt>
                <c:pt idx="8">
                  <c:v>Verre</c:v>
                </c:pt>
                <c:pt idx="9">
                  <c:v>Métaux</c:v>
                </c:pt>
                <c:pt idx="10">
                  <c:v>Incombustibles non classés</c:v>
                </c:pt>
                <c:pt idx="11">
                  <c:v>Déchets ménagers spéciaux</c:v>
                </c:pt>
                <c:pt idx="12">
                  <c:v>Eléments fins &lt; 20 mm</c:v>
                </c:pt>
              </c:strCache>
            </c:strRef>
          </c:cat>
          <c:val>
            <c:numRef>
              <c:f>'Synthèse PB'!$E$75:$E$87</c:f>
              <c:numCache>
                <c:formatCode>0.0%</c:formatCode>
                <c:ptCount val="13"/>
                <c:pt idx="0">
                  <c:v>0.24740608221597321</c:v>
                </c:pt>
                <c:pt idx="1">
                  <c:v>0.11209150908168665</c:v>
                </c:pt>
                <c:pt idx="2">
                  <c:v>7.8095938609641008E-2</c:v>
                </c:pt>
                <c:pt idx="3">
                  <c:v>1.4907911929809062E-2</c:v>
                </c:pt>
                <c:pt idx="4">
                  <c:v>2.6906014337539197E-2</c:v>
                </c:pt>
                <c:pt idx="5">
                  <c:v>7.6498723876559538E-2</c:v>
                </c:pt>
                <c:pt idx="6">
                  <c:v>0.20305662811673011</c:v>
                </c:pt>
                <c:pt idx="7">
                  <c:v>3.3708041541480459E-2</c:v>
                </c:pt>
                <c:pt idx="8">
                  <c:v>8.0864642251840202E-2</c:v>
                </c:pt>
                <c:pt idx="9">
                  <c:v>3.1479953390501199E-2</c:v>
                </c:pt>
                <c:pt idx="10">
                  <c:v>1.8417640572013824E-2</c:v>
                </c:pt>
                <c:pt idx="11">
                  <c:v>2.2990703482708404E-3</c:v>
                </c:pt>
                <c:pt idx="12">
                  <c:v>7.4220536863803172E-2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40-44F1-B861-B6A2CDEACB96}"/>
            </c:ext>
          </c:extLst>
        </c:ser>
        <c:ser>
          <c:idx val="2"/>
          <c:order val="1"/>
          <c:tx>
            <c:strRef>
              <c:f>'Synthèse PB'!$D$73:$D$74</c:f>
              <c:strCache>
                <c:ptCount val="2"/>
                <c:pt idx="0">
                  <c:v>SYCTOM 2014</c:v>
                </c:pt>
              </c:strCache>
            </c:strRef>
          </c:tx>
          <c:invertIfNegative val="0"/>
          <c:val>
            <c:numRef>
              <c:f>'Synthèse PB'!$D$75:$D$87</c:f>
              <c:numCache>
                <c:formatCode>0.0%</c:formatCode>
                <c:ptCount val="13"/>
                <c:pt idx="0">
                  <c:v>0.22611376396934094</c:v>
                </c:pt>
                <c:pt idx="1">
                  <c:v>0.12621046204246816</c:v>
                </c:pt>
                <c:pt idx="2">
                  <c:v>9.870587327859015E-2</c:v>
                </c:pt>
                <c:pt idx="3">
                  <c:v>2.2590783766282978E-2</c:v>
                </c:pt>
                <c:pt idx="4">
                  <c:v>2.8504511241045284E-2</c:v>
                </c:pt>
                <c:pt idx="5">
                  <c:v>9.1187119019428636E-2</c:v>
                </c:pt>
                <c:pt idx="6">
                  <c:v>0.18350233790553844</c:v>
                </c:pt>
                <c:pt idx="7">
                  <c:v>3.5013714023170849E-2</c:v>
                </c:pt>
                <c:pt idx="8">
                  <c:v>6.5246665055814695E-2</c:v>
                </c:pt>
                <c:pt idx="9">
                  <c:v>4.0337855118482362E-2</c:v>
                </c:pt>
                <c:pt idx="10">
                  <c:v>1.6677595960460041E-2</c:v>
                </c:pt>
                <c:pt idx="11">
                  <c:v>8.6654674950381386E-3</c:v>
                </c:pt>
                <c:pt idx="12">
                  <c:v>5.7233624762730154E-2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C40-44F1-B861-B6A2CDEACB96}"/>
            </c:ext>
          </c:extLst>
        </c:ser>
        <c:ser>
          <c:idx val="1"/>
          <c:order val="2"/>
          <c:tx>
            <c:strRef>
              <c:f>'Synthèse PB'!$C$73:$C$74</c:f>
              <c:strCache>
                <c:ptCount val="2"/>
                <c:pt idx="0">
                  <c:v>MODECOM 2007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val>
            <c:numRef>
              <c:f>'Synthèse PB'!$C$75:$C$87</c:f>
              <c:numCache>
                <c:formatCode>0.0%</c:formatCode>
                <c:ptCount val="13"/>
                <c:pt idx="0">
                  <c:v>0.30930000000000002</c:v>
                </c:pt>
                <c:pt idx="1">
                  <c:v>0.1033</c:v>
                </c:pt>
                <c:pt idx="2">
                  <c:v>5.6899999999999999E-2</c:v>
                </c:pt>
                <c:pt idx="3">
                  <c:v>1.6899999999999998E-2</c:v>
                </c:pt>
                <c:pt idx="4">
                  <c:v>2.3199999999999998E-2</c:v>
                </c:pt>
                <c:pt idx="5">
                  <c:v>0.105</c:v>
                </c:pt>
                <c:pt idx="6">
                  <c:v>0.1143</c:v>
                </c:pt>
                <c:pt idx="7">
                  <c:v>2.4400000000000002E-2</c:v>
                </c:pt>
                <c:pt idx="8">
                  <c:v>5.7500000000000002E-2</c:v>
                </c:pt>
                <c:pt idx="9">
                  <c:v>2.87E-2</c:v>
                </c:pt>
                <c:pt idx="10">
                  <c:v>2.5700000000000001E-2</c:v>
                </c:pt>
                <c:pt idx="11">
                  <c:v>8.0999999999999996E-3</c:v>
                </c:pt>
                <c:pt idx="12">
                  <c:v>0.12670000000000001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C40-44F1-B861-B6A2CDEACB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48411392"/>
        <c:axId val="48412928"/>
      </c:barChart>
      <c:catAx>
        <c:axId val="4841139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fr-FR"/>
          </a:p>
        </c:txPr>
        <c:crossAx val="48412928"/>
        <c:crosses val="autoZero"/>
        <c:auto val="1"/>
        <c:lblAlgn val="ctr"/>
        <c:lblOffset val="100"/>
        <c:noMultiLvlLbl val="0"/>
      </c:catAx>
      <c:valAx>
        <c:axId val="48412928"/>
        <c:scaling>
          <c:orientation val="minMax"/>
          <c:max val="0.52"/>
          <c:min val="0"/>
        </c:scaling>
        <c:delete val="0"/>
        <c:axPos val="l"/>
        <c:majorGridlines/>
        <c:numFmt formatCode="0%" sourceLinked="0"/>
        <c:majorTickMark val="none"/>
        <c:minorTickMark val="none"/>
        <c:tickLblPos val="nextTo"/>
        <c:spPr>
          <a:ln w="9525">
            <a:noFill/>
          </a:ln>
        </c:spPr>
        <c:txPr>
          <a:bodyPr/>
          <a:lstStyle/>
          <a:p>
            <a:pPr>
              <a:defRPr sz="900"/>
            </a:pPr>
            <a:endParaRPr lang="fr-FR"/>
          </a:p>
        </c:txPr>
        <c:crossAx val="48411392"/>
        <c:crosses val="autoZero"/>
        <c:crossBetween val="between"/>
      </c:valAx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fr-FR"/>
        </a:p>
      </c:txPr>
    </c:legend>
    <c:plotVisOnly val="1"/>
    <c:dispBlanksAs val="gap"/>
    <c:showDLblsOverMax val="0"/>
  </c:chart>
  <c:printSettings>
    <c:headerFooter/>
    <c:pageMargins b="0.75000000000001166" l="0.70000000000000062" r="0.70000000000000062" t="0.75000000000001166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fr-FR" sz="1000"/>
              <a:t>Composition des OMR en fonction de la provenance Banlieue/Paris</a:t>
            </a:r>
          </a:p>
          <a:p>
            <a:pPr>
              <a:defRPr sz="1000"/>
            </a:pPr>
            <a:r>
              <a:rPr lang="fr-FR" sz="1000" i="1"/>
              <a:t>été 2015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'Synthèse PB'!$D$89</c:f>
              <c:strCache>
                <c:ptCount val="1"/>
                <c:pt idx="0">
                  <c:v>Banlieue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invertIfNegative val="0"/>
          <c:errBars>
            <c:errBarType val="both"/>
            <c:errValType val="cust"/>
            <c:noEndCap val="0"/>
            <c:plus>
              <c:numRef>
                <c:f>'Synthèse PB'!$O$91:$O$103</c:f>
                <c:numCache>
                  <c:formatCode>General</c:formatCode>
                  <c:ptCount val="13"/>
                  <c:pt idx="0">
                    <c:v>0.15005166089339045</c:v>
                  </c:pt>
                  <c:pt idx="1">
                    <c:v>7.6296057323450517E-2</c:v>
                  </c:pt>
                  <c:pt idx="2">
                    <c:v>2.3763769315243807E-2</c:v>
                  </c:pt>
                  <c:pt idx="3">
                    <c:v>1.8048943139757082E-2</c:v>
                  </c:pt>
                  <c:pt idx="4">
                    <c:v>1.1211760777454224E-2</c:v>
                  </c:pt>
                  <c:pt idx="5">
                    <c:v>1.4674315919864178E-2</c:v>
                  </c:pt>
                  <c:pt idx="6">
                    <c:v>6.8960333631589432E-2</c:v>
                  </c:pt>
                  <c:pt idx="7">
                    <c:v>1.0678610769029394E-2</c:v>
                  </c:pt>
                  <c:pt idx="8">
                    <c:v>3.1775571552817669E-2</c:v>
                  </c:pt>
                  <c:pt idx="9">
                    <c:v>1.0083302293922052E-2</c:v>
                  </c:pt>
                  <c:pt idx="10">
                    <c:v>1.1565785684893175E-2</c:v>
                  </c:pt>
                  <c:pt idx="11">
                    <c:v>2.2057916112887006E-3</c:v>
                  </c:pt>
                  <c:pt idx="12">
                    <c:v>9.2307598175576308E-3</c:v>
                  </c:pt>
                </c:numCache>
              </c:numRef>
            </c:plus>
            <c:minus>
              <c:numRef>
                <c:f>'Synthèse PB'!$N$91:$N$103</c:f>
                <c:numCache>
                  <c:formatCode>General</c:formatCode>
                  <c:ptCount val="13"/>
                  <c:pt idx="0">
                    <c:v>0.14789188149552746</c:v>
                  </c:pt>
                  <c:pt idx="1">
                    <c:v>6.1731510441846951E-2</c:v>
                  </c:pt>
                  <c:pt idx="2">
                    <c:v>2.9189227223139345E-2</c:v>
                  </c:pt>
                  <c:pt idx="3">
                    <c:v>1.4045220114423034E-2</c:v>
                  </c:pt>
                  <c:pt idx="4">
                    <c:v>1.3028993579016251E-2</c:v>
                  </c:pt>
                  <c:pt idx="5">
                    <c:v>3.5481883619596616E-2</c:v>
                  </c:pt>
                  <c:pt idx="6">
                    <c:v>8.2577074193314004E-2</c:v>
                  </c:pt>
                  <c:pt idx="7">
                    <c:v>1.7081476809100327E-2</c:v>
                  </c:pt>
                  <c:pt idx="8">
                    <c:v>1.9438307591325161E-2</c:v>
                  </c:pt>
                  <c:pt idx="9">
                    <c:v>1.6222965599035591E-2</c:v>
                  </c:pt>
                  <c:pt idx="10">
                    <c:v>8.7784015481273091E-3</c:v>
                  </c:pt>
                  <c:pt idx="11">
                    <c:v>1.3004828018153981E-3</c:v>
                  </c:pt>
                  <c:pt idx="12">
                    <c:v>6.3062660457273989E-3</c:v>
                  </c:pt>
                </c:numCache>
              </c:numRef>
            </c:minus>
            <c:spPr>
              <a:ln w="15875">
                <a:solidFill>
                  <a:srgbClr val="00B050"/>
                </a:solidFill>
              </a:ln>
            </c:spPr>
          </c:errBars>
          <c:cat>
            <c:strRef>
              <c:f>'[9]Synthèse PB'!$B$84:$B$96</c:f>
              <c:strCache>
                <c:ptCount val="13"/>
                <c:pt idx="0">
                  <c:v>Déchets Putrescibles</c:v>
                </c:pt>
                <c:pt idx="1">
                  <c:v>Papiers</c:v>
                </c:pt>
                <c:pt idx="2">
                  <c:v>Cartons</c:v>
                </c:pt>
                <c:pt idx="3">
                  <c:v>Composites</c:v>
                </c:pt>
                <c:pt idx="4">
                  <c:v>Textiles </c:v>
                </c:pt>
                <c:pt idx="5">
                  <c:v>Textiles sanitaires</c:v>
                </c:pt>
                <c:pt idx="6">
                  <c:v>Plastiques</c:v>
                </c:pt>
                <c:pt idx="7">
                  <c:v>Combustibles non classés</c:v>
                </c:pt>
                <c:pt idx="8">
                  <c:v>Verre</c:v>
                </c:pt>
                <c:pt idx="9">
                  <c:v>Métaux</c:v>
                </c:pt>
                <c:pt idx="10">
                  <c:v>Incombustibles non classés</c:v>
                </c:pt>
                <c:pt idx="11">
                  <c:v>Déchets ménagers spéciaux</c:v>
                </c:pt>
                <c:pt idx="12">
                  <c:v>Eléments fins &lt; 20 mm</c:v>
                </c:pt>
              </c:strCache>
            </c:strRef>
          </c:cat>
          <c:val>
            <c:numRef>
              <c:f>'Synthèse PB'!$D$91:$D$103</c:f>
              <c:numCache>
                <c:formatCode>0.0%</c:formatCode>
                <c:ptCount val="13"/>
                <c:pt idx="0">
                  <c:v>0.32356020086073617</c:v>
                </c:pt>
                <c:pt idx="1">
                  <c:v>0.1268926356686062</c:v>
                </c:pt>
                <c:pt idx="2">
                  <c:v>8.5025786001693013E-2</c:v>
                </c:pt>
                <c:pt idx="3">
                  <c:v>1.8548878257868284E-2</c:v>
                </c:pt>
                <c:pt idx="4">
                  <c:v>1.6380436992602724E-2</c:v>
                </c:pt>
                <c:pt idx="5">
                  <c:v>5.8681031129154085E-2</c:v>
                </c:pt>
                <c:pt idx="6">
                  <c:v>0.19810331432799372</c:v>
                </c:pt>
                <c:pt idx="7">
                  <c:v>2.7954088056040632E-2</c:v>
                </c:pt>
                <c:pt idx="8">
                  <c:v>4.889116916680529E-2</c:v>
                </c:pt>
                <c:pt idx="9">
                  <c:v>2.7582779277550571E-2</c:v>
                </c:pt>
                <c:pt idx="10">
                  <c:v>1.122499516738594E-2</c:v>
                </c:pt>
                <c:pt idx="11">
                  <c:v>1.3004828018153981E-3</c:v>
                </c:pt>
                <c:pt idx="12">
                  <c:v>5.5849708689139903E-2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34-4A0D-A0D6-BEC49D773CE3}"/>
            </c:ext>
          </c:extLst>
        </c:ser>
        <c:ser>
          <c:idx val="1"/>
          <c:order val="1"/>
          <c:tx>
            <c:strRef>
              <c:f>'Synthèse PB'!$I$89</c:f>
              <c:strCache>
                <c:ptCount val="1"/>
                <c:pt idx="0">
                  <c:v>Paris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errBars>
            <c:errBarType val="both"/>
            <c:errValType val="cust"/>
            <c:noEndCap val="0"/>
            <c:plus>
              <c:numRef>
                <c:f>'Synthèse PB'!$Q$91:$Q$103</c:f>
                <c:numCache>
                  <c:formatCode>General</c:formatCode>
                  <c:ptCount val="13"/>
                  <c:pt idx="0">
                    <c:v>8.6101913773051902E-2</c:v>
                  </c:pt>
                  <c:pt idx="1">
                    <c:v>5.4088423948120953E-2</c:v>
                  </c:pt>
                  <c:pt idx="2">
                    <c:v>1.4197559023819945E-2</c:v>
                  </c:pt>
                  <c:pt idx="3">
                    <c:v>6.2678097426217723E-3</c:v>
                  </c:pt>
                  <c:pt idx="4">
                    <c:v>2.0897794506699131E-2</c:v>
                  </c:pt>
                  <c:pt idx="5">
                    <c:v>4.0919185958650656E-2</c:v>
                  </c:pt>
                  <c:pt idx="6">
                    <c:v>4.6501354017785435E-2</c:v>
                  </c:pt>
                  <c:pt idx="7">
                    <c:v>2.4826175434555058E-2</c:v>
                  </c:pt>
                  <c:pt idx="8">
                    <c:v>7.9205273887104022E-2</c:v>
                  </c:pt>
                  <c:pt idx="9">
                    <c:v>3.6397639497166567E-3</c:v>
                  </c:pt>
                  <c:pt idx="10">
                    <c:v>2.7671234038026335E-2</c:v>
                  </c:pt>
                  <c:pt idx="11">
                    <c:v>7.7023421052737177E-3</c:v>
                  </c:pt>
                  <c:pt idx="12">
                    <c:v>1.8364760662079316E-2</c:v>
                  </c:pt>
                </c:numCache>
              </c:numRef>
            </c:plus>
            <c:minus>
              <c:numRef>
                <c:f>'Synthèse PB'!$P$91:$P$103</c:f>
                <c:numCache>
                  <c:formatCode>General</c:formatCode>
                  <c:ptCount val="13"/>
                  <c:pt idx="0">
                    <c:v>7.8687441043918963E-2</c:v>
                  </c:pt>
                  <c:pt idx="1">
                    <c:v>2.606799779799833E-2</c:v>
                  </c:pt>
                  <c:pt idx="2">
                    <c:v>1.450406317421539E-2</c:v>
                  </c:pt>
                  <c:pt idx="3">
                    <c:v>5.1219458579410907E-3</c:v>
                  </c:pt>
                  <c:pt idx="4">
                    <c:v>2.8115149842821048E-2</c:v>
                  </c:pt>
                  <c:pt idx="5">
                    <c:v>5.6303987352784066E-2</c:v>
                  </c:pt>
                  <c:pt idx="6">
                    <c:v>7.5523151172450204E-2</c:v>
                  </c:pt>
                  <c:pt idx="7">
                    <c:v>2.46937368917097E-2</c:v>
                  </c:pt>
                  <c:pt idx="8">
                    <c:v>5.9558926105951301E-2</c:v>
                  </c:pt>
                  <c:pt idx="9">
                    <c:v>4.1711688032776625E-3</c:v>
                  </c:pt>
                  <c:pt idx="10">
                    <c:v>2.5206766124263841E-2</c:v>
                  </c:pt>
                  <c:pt idx="11">
                    <c:v>3.2976578947262821E-3</c:v>
                  </c:pt>
                  <c:pt idx="12">
                    <c:v>2.8900160616908574E-2</c:v>
                  </c:pt>
                </c:numCache>
              </c:numRef>
            </c:minus>
            <c:spPr>
              <a:ln w="15875">
                <a:solidFill>
                  <a:srgbClr val="C00000"/>
                </a:solidFill>
              </a:ln>
            </c:spPr>
          </c:errBars>
          <c:cat>
            <c:strRef>
              <c:f>'[9]Synthèse PB'!$B$84:$B$96</c:f>
              <c:strCache>
                <c:ptCount val="13"/>
                <c:pt idx="0">
                  <c:v>Déchets Putrescibles</c:v>
                </c:pt>
                <c:pt idx="1">
                  <c:v>Papiers</c:v>
                </c:pt>
                <c:pt idx="2">
                  <c:v>Cartons</c:v>
                </c:pt>
                <c:pt idx="3">
                  <c:v>Composites</c:v>
                </c:pt>
                <c:pt idx="4">
                  <c:v>Textiles </c:v>
                </c:pt>
                <c:pt idx="5">
                  <c:v>Textiles sanitaires</c:v>
                </c:pt>
                <c:pt idx="6">
                  <c:v>Plastiques</c:v>
                </c:pt>
                <c:pt idx="7">
                  <c:v>Combustibles non classés</c:v>
                </c:pt>
                <c:pt idx="8">
                  <c:v>Verre</c:v>
                </c:pt>
                <c:pt idx="9">
                  <c:v>Métaux</c:v>
                </c:pt>
                <c:pt idx="10">
                  <c:v>Incombustibles non classés</c:v>
                </c:pt>
                <c:pt idx="11">
                  <c:v>Déchets ménagers spéciaux</c:v>
                </c:pt>
                <c:pt idx="12">
                  <c:v>Eléments fins &lt; 20 mm</c:v>
                </c:pt>
              </c:strCache>
            </c:strRef>
          </c:cat>
          <c:val>
            <c:numRef>
              <c:f>'Synthèse PB'!$I$91:$I$103</c:f>
              <c:numCache>
                <c:formatCode>0.0%</c:formatCode>
                <c:ptCount val="13"/>
                <c:pt idx="0">
                  <c:v>0.17125196357121023</c:v>
                </c:pt>
                <c:pt idx="1">
                  <c:v>9.7290382494767139E-2</c:v>
                </c:pt>
                <c:pt idx="2">
                  <c:v>7.1166091217589031E-2</c:v>
                </c:pt>
                <c:pt idx="3">
                  <c:v>1.1266945601749841E-2</c:v>
                </c:pt>
                <c:pt idx="4">
                  <c:v>3.7431591682475673E-2</c:v>
                </c:pt>
                <c:pt idx="5">
                  <c:v>9.4316416623964977E-2</c:v>
                </c:pt>
                <c:pt idx="6">
                  <c:v>0.20800994190546646</c:v>
                </c:pt>
                <c:pt idx="7">
                  <c:v>3.9461995026920278E-2</c:v>
                </c:pt>
                <c:pt idx="8">
                  <c:v>0.11283811533687507</c:v>
                </c:pt>
                <c:pt idx="9">
                  <c:v>3.5377127503451823E-2</c:v>
                </c:pt>
                <c:pt idx="10">
                  <c:v>2.5610285976641708E-2</c:v>
                </c:pt>
                <c:pt idx="11">
                  <c:v>3.2976578947262821E-3</c:v>
                </c:pt>
                <c:pt idx="12">
                  <c:v>9.2591365038466433E-2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034-4A0D-A0D6-BEC49D773C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88637440"/>
        <c:axId val="88638976"/>
      </c:barChart>
      <c:catAx>
        <c:axId val="8863744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700"/>
            </a:pPr>
            <a:endParaRPr lang="fr-FR"/>
          </a:p>
        </c:txPr>
        <c:crossAx val="88638976"/>
        <c:crosses val="autoZero"/>
        <c:auto val="1"/>
        <c:lblAlgn val="ctr"/>
        <c:lblOffset val="100"/>
        <c:noMultiLvlLbl val="0"/>
      </c:catAx>
      <c:valAx>
        <c:axId val="88638976"/>
        <c:scaling>
          <c:orientation val="minMax"/>
          <c:max val="0.51"/>
          <c:min val="0"/>
        </c:scaling>
        <c:delete val="0"/>
        <c:axPos val="l"/>
        <c:majorGridlines/>
        <c:numFmt formatCode="0%" sourceLinked="0"/>
        <c:majorTickMark val="none"/>
        <c:minorTickMark val="none"/>
        <c:tickLblPos val="nextTo"/>
        <c:spPr>
          <a:ln w="9525">
            <a:noFill/>
          </a:ln>
        </c:spPr>
        <c:txPr>
          <a:bodyPr/>
          <a:lstStyle/>
          <a:p>
            <a:pPr>
              <a:defRPr sz="900"/>
            </a:pPr>
            <a:endParaRPr lang="fr-FR"/>
          </a:p>
        </c:txPr>
        <c:crossAx val="8863744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900"/>
          </a:pPr>
          <a:endParaRPr lang="fr-FR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1155" l="0.70000000000000062" r="0.70000000000000062" t="0.750000000000011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fr-FR" sz="1100"/>
              <a:t>Gisement potentiellement détournable vers le tri</a:t>
            </a:r>
            <a:r>
              <a:rPr lang="fr-FR" sz="1100" baseline="0"/>
              <a:t> dans les OMR du SYCTOM</a:t>
            </a:r>
          </a:p>
          <a:p>
            <a:pPr>
              <a:defRPr sz="1100"/>
            </a:pPr>
            <a:r>
              <a:rPr lang="fr-FR" sz="1100" i="1" baseline="0"/>
              <a:t>été 2015</a:t>
            </a:r>
            <a:endParaRPr lang="fr-FR" sz="1100" i="1"/>
          </a:p>
        </c:rich>
      </c:tx>
      <c:layout>
        <c:manualLayout>
          <c:xMode val="edge"/>
          <c:yMode val="edge"/>
          <c:x val="0.12265822784810126"/>
          <c:y val="1.847575057736720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4.5622279809960482E-2"/>
          <c:y val="0.16270579813886901"/>
          <c:w val="0.82858666400877101"/>
          <c:h val="0.7653130414034216"/>
        </c:manualLayout>
      </c:layout>
      <c:ofPieChart>
        <c:ofPieType val="pie"/>
        <c:varyColors val="1"/>
        <c:ser>
          <c:idx val="0"/>
          <c:order val="0"/>
          <c:explosion val="8"/>
          <c:dPt>
            <c:idx val="6"/>
            <c:bubble3D val="0"/>
            <c:explosion val="0"/>
            <c:extLst>
              <c:ext xmlns:c16="http://schemas.microsoft.com/office/drawing/2014/chart" uri="{C3380CC4-5D6E-409C-BE32-E72D297353CC}">
                <c16:uniqueId val="{00000000-B0CF-41D6-A572-A15643AC49BA}"/>
              </c:ext>
            </c:extLst>
          </c:dPt>
          <c:dLbls>
            <c:dLbl>
              <c:idx val="0"/>
              <c:spPr/>
              <c:txPr>
                <a:bodyPr/>
                <a:lstStyle/>
                <a:p>
                  <a:pPr>
                    <a:defRPr b="1"/>
                  </a:pPr>
                  <a:endParaRPr lang="fr-FR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0CF-41D6-A572-A15643AC49BA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0CF-41D6-A572-A15643AC49BA}"/>
                </c:ext>
              </c:extLst>
            </c:dLbl>
            <c:dLbl>
              <c:idx val="3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0CF-41D6-A572-A15643AC49BA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'[10]Synthèse A11 PB'!$B$164:$B$169</c:f>
              <c:strCache>
                <c:ptCount val="6"/>
                <c:pt idx="0">
                  <c:v>OMR</c:v>
                </c:pt>
                <c:pt idx="2">
                  <c:v>Collecte sélective</c:v>
                </c:pt>
                <c:pt idx="3">
                  <c:v>Verre</c:v>
                </c:pt>
                <c:pt idx="4">
                  <c:v>Textiles</c:v>
                </c:pt>
                <c:pt idx="5">
                  <c:v>Déchets ménagers spéciaux</c:v>
                </c:pt>
              </c:strCache>
            </c:strRef>
          </c:cat>
          <c:val>
            <c:numRef>
              <c:f>'Synthèse PB'!$C$158:$C$163</c:f>
              <c:numCache>
                <c:formatCode>0.0%</c:formatCode>
                <c:ptCount val="6"/>
                <c:pt idx="0">
                  <c:v>0.65026214826841278</c:v>
                </c:pt>
                <c:pt idx="2">
                  <c:v>0.25524175159210183</c:v>
                </c:pt>
                <c:pt idx="3">
                  <c:v>6.5291015453675411E-2</c:v>
                </c:pt>
                <c:pt idx="4">
                  <c:v>2.6906014337539197E-2</c:v>
                </c:pt>
                <c:pt idx="5">
                  <c:v>2.2990703482708404E-3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0CF-41D6-A572-A15643AC49BA}"/>
            </c:ext>
          </c:extLst>
        </c:ser>
        <c:dLbls>
          <c:showLegendKey val="0"/>
          <c:showVal val="0"/>
          <c:showCatName val="1"/>
          <c:showSerName val="0"/>
          <c:showPercent val="0"/>
          <c:showBubbleSize val="0"/>
          <c:showLeaderLines val="1"/>
        </c:dLbls>
        <c:gapWidth val="100"/>
        <c:splitType val="cust"/>
        <c:custSplit>
          <c:secondPiePt val="2"/>
          <c:secondPiePt val="3"/>
          <c:secondPiePt val="4"/>
          <c:secondPiePt val="5"/>
        </c:custSplit>
        <c:secondPieSize val="140"/>
        <c:serLines/>
      </c:ofPieChart>
    </c:plotArea>
    <c:plotVisOnly val="1"/>
    <c:dispBlanksAs val="zero"/>
    <c:showDLblsOverMax val="0"/>
  </c:chart>
  <c:printSettings>
    <c:headerFooter/>
    <c:pageMargins b="0.75000000000001255" l="0.70000000000000062" r="0.70000000000000062" t="0.75000000000001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081243110510928"/>
          <c:y val="2.9966302202258193E-2"/>
          <c:w val="0.88382841331014095"/>
          <c:h val="0.74727225508314821"/>
        </c:manualLayout>
      </c:layout>
      <c:lineChart>
        <c:grouping val="standard"/>
        <c:varyColors val="0"/>
        <c:ser>
          <c:idx val="0"/>
          <c:order val="0"/>
          <c:tx>
            <c:strRef>
              <c:f>'PCI PB et PC'!$A$6</c:f>
              <c:strCache>
                <c:ptCount val="1"/>
                <c:pt idx="0">
                  <c:v>PCS/sec expérimental</c:v>
                </c:pt>
              </c:strCache>
            </c:strRef>
          </c:tx>
          <c:spPr>
            <a:ln w="22225"/>
          </c:spPr>
          <c:marker>
            <c:symbol val="none"/>
          </c:marker>
          <c:cat>
            <c:strRef>
              <c:f>'PCI PB et PC'!$C$4:$M$4</c:f>
              <c:strCache>
                <c:ptCount val="11"/>
                <c:pt idx="0">
                  <c:v>ISS E15 PB PAR</c:v>
                </c:pt>
                <c:pt idx="1">
                  <c:v>ISS E15 PAR BAN</c:v>
                </c:pt>
                <c:pt idx="2">
                  <c:v>STO E15 PB PAR</c:v>
                </c:pt>
                <c:pt idx="3">
                  <c:v>STO E15 PB BAN</c:v>
                </c:pt>
                <c:pt idx="4">
                  <c:v>ROM E15 PB PAR</c:v>
                </c:pt>
                <c:pt idx="5">
                  <c:v>ROM E15 PB BAN</c:v>
                </c:pt>
                <c:pt idx="6">
                  <c:v>IV13 E15 PB PAR</c:v>
                </c:pt>
                <c:pt idx="7">
                  <c:v>IV13 E15 PB BAN</c:v>
                </c:pt>
                <c:pt idx="8">
                  <c:v>Moyenne générale</c:v>
                </c:pt>
                <c:pt idx="9">
                  <c:v>Moyenne Paris</c:v>
                </c:pt>
                <c:pt idx="10">
                  <c:v>Moyenne Banlieue</c:v>
                </c:pt>
              </c:strCache>
            </c:strRef>
          </c:cat>
          <c:val>
            <c:numRef>
              <c:f>'PCI PB et PC'!$C$6:$M$6</c:f>
              <c:numCache>
                <c:formatCode>#\ ##0_ ;\-#\ ##0\ </c:formatCode>
                <c:ptCount val="11"/>
                <c:pt idx="0">
                  <c:v>4522.4897217347716</c:v>
                </c:pt>
                <c:pt idx="1">
                  <c:v>4343.2492340325252</c:v>
                </c:pt>
                <c:pt idx="2">
                  <c:v>3778.2708252615271</c:v>
                </c:pt>
                <c:pt idx="3">
                  <c:v>4726.0320881812613</c:v>
                </c:pt>
                <c:pt idx="4">
                  <c:v>3262.2058397683395</c:v>
                </c:pt>
                <c:pt idx="5">
                  <c:v>4605.8897283161414</c:v>
                </c:pt>
                <c:pt idx="6">
                  <c:v>4561.7464163389568</c:v>
                </c:pt>
                <c:pt idx="7">
                  <c:v>4388.9737626714368</c:v>
                </c:pt>
                <c:pt idx="8">
                  <c:v>4273.6072020381198</c:v>
                </c:pt>
                <c:pt idx="9">
                  <c:v>4031.1782007758984</c:v>
                </c:pt>
                <c:pt idx="10">
                  <c:v>4516.0362033003412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97-4EF8-813C-4F1A78CC18CF}"/>
            </c:ext>
          </c:extLst>
        </c:ser>
        <c:ser>
          <c:idx val="1"/>
          <c:order val="1"/>
          <c:tx>
            <c:strRef>
              <c:f>'PCI PB et PC'!$A$16</c:f>
              <c:strCache>
                <c:ptCount val="1"/>
                <c:pt idx="0">
                  <c:v>Référence MODECOM PCS/sec</c:v>
                </c:pt>
              </c:strCache>
            </c:strRef>
          </c:tx>
          <c:spPr>
            <a:ln>
              <a:solidFill>
                <a:srgbClr val="FF0000"/>
              </a:solidFill>
              <a:prstDash val="dash"/>
            </a:ln>
          </c:spPr>
          <c:marker>
            <c:symbol val="none"/>
          </c:marker>
          <c:cat>
            <c:strRef>
              <c:f>'PCI PB et PC'!$C$4:$M$4</c:f>
              <c:strCache>
                <c:ptCount val="11"/>
                <c:pt idx="0">
                  <c:v>ISS E15 PB PAR</c:v>
                </c:pt>
                <c:pt idx="1">
                  <c:v>ISS E15 PAR BAN</c:v>
                </c:pt>
                <c:pt idx="2">
                  <c:v>STO E15 PB PAR</c:v>
                </c:pt>
                <c:pt idx="3">
                  <c:v>STO E15 PB BAN</c:v>
                </c:pt>
                <c:pt idx="4">
                  <c:v>ROM E15 PB PAR</c:v>
                </c:pt>
                <c:pt idx="5">
                  <c:v>ROM E15 PB BAN</c:v>
                </c:pt>
                <c:pt idx="6">
                  <c:v>IV13 E15 PB PAR</c:v>
                </c:pt>
                <c:pt idx="7">
                  <c:v>IV13 E15 PB BAN</c:v>
                </c:pt>
                <c:pt idx="8">
                  <c:v>Moyenne générale</c:v>
                </c:pt>
                <c:pt idx="9">
                  <c:v>Moyenne Paris</c:v>
                </c:pt>
                <c:pt idx="10">
                  <c:v>Moyenne Banlieue</c:v>
                </c:pt>
              </c:strCache>
            </c:strRef>
          </c:cat>
          <c:val>
            <c:numRef>
              <c:f>'PCI PB et PC'!$C$16:$M$16</c:f>
              <c:numCache>
                <c:formatCode>General</c:formatCode>
                <c:ptCount val="11"/>
                <c:pt idx="0">
                  <c:v>4108</c:v>
                </c:pt>
                <c:pt idx="1">
                  <c:v>4108</c:v>
                </c:pt>
                <c:pt idx="2">
                  <c:v>4108</c:v>
                </c:pt>
                <c:pt idx="3">
                  <c:v>4108</c:v>
                </c:pt>
                <c:pt idx="4">
                  <c:v>4108</c:v>
                </c:pt>
                <c:pt idx="5">
                  <c:v>4108</c:v>
                </c:pt>
                <c:pt idx="6">
                  <c:v>4108</c:v>
                </c:pt>
                <c:pt idx="7">
                  <c:v>4108</c:v>
                </c:pt>
                <c:pt idx="8">
                  <c:v>4108</c:v>
                </c:pt>
                <c:pt idx="9">
                  <c:v>4108</c:v>
                </c:pt>
                <c:pt idx="10">
                  <c:v>4108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97-4EF8-813C-4F1A78CC18CF}"/>
            </c:ext>
          </c:extLst>
        </c:ser>
        <c:ser>
          <c:idx val="2"/>
          <c:order val="2"/>
          <c:tx>
            <c:strRef>
              <c:f>'PCI PB et PC'!$A$10</c:f>
              <c:strCache>
                <c:ptCount val="1"/>
                <c:pt idx="0">
                  <c:v>PCI/brut expérimental</c:v>
                </c:pt>
              </c:strCache>
            </c:strRef>
          </c:tx>
          <c:spPr>
            <a:ln w="22225"/>
          </c:spPr>
          <c:marker>
            <c:symbol val="none"/>
          </c:marker>
          <c:val>
            <c:numRef>
              <c:f>'PCI PB et PC'!$C$10:$M$10</c:f>
              <c:numCache>
                <c:formatCode>#\ ##0_ ;\-#\ ##0\ </c:formatCode>
                <c:ptCount val="11"/>
                <c:pt idx="0">
                  <c:v>2485.6191004011034</c:v>
                </c:pt>
                <c:pt idx="1">
                  <c:v>2532.3964582842327</c:v>
                </c:pt>
                <c:pt idx="2">
                  <c:v>1891.2833862843859</c:v>
                </c:pt>
                <c:pt idx="3">
                  <c:v>2536.5029479485606</c:v>
                </c:pt>
                <c:pt idx="4">
                  <c:v>1865.3254138513512</c:v>
                </c:pt>
                <c:pt idx="5">
                  <c:v>2086.3139860525939</c:v>
                </c:pt>
                <c:pt idx="6">
                  <c:v>2376.268835976151</c:v>
                </c:pt>
                <c:pt idx="7">
                  <c:v>2474.8741533691123</c:v>
                </c:pt>
                <c:pt idx="8">
                  <c:v>2281.0730352709361</c:v>
                </c:pt>
                <c:pt idx="9">
                  <c:v>2154.6241841282476</c:v>
                </c:pt>
                <c:pt idx="10">
                  <c:v>2407.5218864136245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097-4EF8-813C-4F1A78CC18CF}"/>
            </c:ext>
          </c:extLst>
        </c:ser>
        <c:ser>
          <c:idx val="4"/>
          <c:order val="3"/>
          <c:tx>
            <c:strRef>
              <c:f>'PCI PB et PC'!$A$12</c:f>
              <c:strCache>
                <c:ptCount val="1"/>
                <c:pt idx="0">
                  <c:v>PCI/brut calculatoire</c:v>
                </c:pt>
              </c:strCache>
            </c:strRef>
          </c:tx>
          <c:spPr>
            <a:ln w="22225"/>
          </c:spPr>
          <c:marker>
            <c:symbol val="none"/>
          </c:marker>
          <c:val>
            <c:numRef>
              <c:f>'PCI PB et PC'!$C$12:$M$12</c:f>
              <c:numCache>
                <c:formatCode>#\ ##0_ ;\-#\ ##0\ </c:formatCode>
                <c:ptCount val="11"/>
                <c:pt idx="0">
                  <c:v>2651.5062001754832</c:v>
                </c:pt>
                <c:pt idx="1">
                  <c:v>2554.5175009427298</c:v>
                </c:pt>
                <c:pt idx="2">
                  <c:v>2079.5857865168537</c:v>
                </c:pt>
                <c:pt idx="3">
                  <c:v>2718.3722694427429</c:v>
                </c:pt>
                <c:pt idx="4">
                  <c:v>2015.1378462837833</c:v>
                </c:pt>
                <c:pt idx="5">
                  <c:v>2235.279118117101</c:v>
                </c:pt>
                <c:pt idx="6">
                  <c:v>2530.5542219967015</c:v>
                </c:pt>
                <c:pt idx="7">
                  <c:v>2608.5408039355998</c:v>
                </c:pt>
                <c:pt idx="8">
                  <c:v>2424.1867184263747</c:v>
                </c:pt>
                <c:pt idx="9">
                  <c:v>2319.1960137432052</c:v>
                </c:pt>
                <c:pt idx="10">
                  <c:v>2529.1774231095433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097-4EF8-813C-4F1A78CC18CF}"/>
            </c:ext>
          </c:extLst>
        </c:ser>
        <c:ser>
          <c:idx val="3"/>
          <c:order val="4"/>
          <c:tx>
            <c:strRef>
              <c:f>'PCI PB et PC'!$A$17</c:f>
              <c:strCache>
                <c:ptCount val="1"/>
                <c:pt idx="0">
                  <c:v>Référence MODECOM PCI/brut</c:v>
                </c:pt>
              </c:strCache>
            </c:strRef>
          </c:tx>
          <c:spPr>
            <a:ln>
              <a:solidFill>
                <a:srgbClr val="00B0F0"/>
              </a:solidFill>
              <a:prstDash val="dash"/>
            </a:ln>
          </c:spPr>
          <c:marker>
            <c:symbol val="none"/>
          </c:marker>
          <c:val>
            <c:numRef>
              <c:f>'PCI PB et PC'!$C$17:$M$17</c:f>
              <c:numCache>
                <c:formatCode>General</c:formatCode>
                <c:ptCount val="11"/>
                <c:pt idx="0">
                  <c:v>2221</c:v>
                </c:pt>
                <c:pt idx="1">
                  <c:v>2221</c:v>
                </c:pt>
                <c:pt idx="2">
                  <c:v>2221</c:v>
                </c:pt>
                <c:pt idx="3">
                  <c:v>2221</c:v>
                </c:pt>
                <c:pt idx="4">
                  <c:v>2221</c:v>
                </c:pt>
                <c:pt idx="5">
                  <c:v>2221</c:v>
                </c:pt>
                <c:pt idx="6">
                  <c:v>2221</c:v>
                </c:pt>
                <c:pt idx="7">
                  <c:v>2221</c:v>
                </c:pt>
                <c:pt idx="8">
                  <c:v>2221</c:v>
                </c:pt>
                <c:pt idx="9">
                  <c:v>2221</c:v>
                </c:pt>
                <c:pt idx="10">
                  <c:v>2221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097-4EF8-813C-4F1A78CC18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8588032"/>
        <c:axId val="88474368"/>
      </c:lineChart>
      <c:catAx>
        <c:axId val="108588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3300000"/>
          <a:lstStyle/>
          <a:p>
            <a:pPr>
              <a:defRPr sz="1000" b="1"/>
            </a:pPr>
            <a:endParaRPr lang="fr-FR"/>
          </a:p>
        </c:txPr>
        <c:crossAx val="88474368"/>
        <c:crosses val="autoZero"/>
        <c:auto val="1"/>
        <c:lblAlgn val="ctr"/>
        <c:lblOffset val="100"/>
        <c:noMultiLvlLbl val="0"/>
      </c:catAx>
      <c:valAx>
        <c:axId val="88474368"/>
        <c:scaling>
          <c:orientation val="minMax"/>
          <c:max val="4850"/>
          <c:min val="180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en cal/g</a:t>
                </a:r>
              </a:p>
            </c:rich>
          </c:tx>
          <c:layout>
            <c:manualLayout>
              <c:xMode val="edge"/>
              <c:yMode val="edge"/>
              <c:x val="1.6104371589321143E-2"/>
              <c:y val="0.35060650085264639"/>
            </c:manualLayout>
          </c:layout>
          <c:overlay val="0"/>
        </c:title>
        <c:numFmt formatCode="#\ ##0_ ;\-#\ ##0\ 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fr-FR"/>
          </a:p>
        </c:txPr>
        <c:crossAx val="10858803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4015748678956661"/>
          <c:y val="0.31285013321001304"/>
          <c:w val="0.24510276556895319"/>
          <c:h val="0.24403381511096309"/>
        </c:manualLayout>
      </c:layout>
      <c:overlay val="0"/>
      <c:spPr>
        <a:solidFill>
          <a:schemeClr val="bg1"/>
        </a:solidFill>
      </c:spPr>
    </c:legend>
    <c:plotVisOnly val="1"/>
    <c:dispBlanksAs val="gap"/>
    <c:showDLblsOverMax val="0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573084733784972"/>
          <c:y val="3.8063464752477599E-2"/>
          <c:w val="0.87338766467465323"/>
          <c:h val="0.57668920960906944"/>
        </c:manualLayout>
      </c:layout>
      <c:lineChart>
        <c:grouping val="standard"/>
        <c:varyColors val="0"/>
        <c:ser>
          <c:idx val="3"/>
          <c:order val="0"/>
          <c:tx>
            <c:strRef>
              <c:f>'PCI PB et PC'!$A$17</c:f>
              <c:strCache>
                <c:ptCount val="1"/>
                <c:pt idx="0">
                  <c:v>Référence MODECOM PCI/brut</c:v>
                </c:pt>
              </c:strCache>
            </c:strRef>
          </c:tx>
          <c:spPr>
            <a:ln>
              <a:solidFill>
                <a:srgbClr val="00B0F0"/>
              </a:solidFill>
              <a:prstDash val="dash"/>
            </a:ln>
          </c:spPr>
          <c:marker>
            <c:symbol val="none"/>
          </c:marker>
          <c:cat>
            <c:strRef>
              <c:f>'PCI PB et PC'!$T$4:$AE$4</c:f>
              <c:strCache>
                <c:ptCount val="12"/>
                <c:pt idx="0">
                  <c:v>ISS_E15 PAR</c:v>
                </c:pt>
                <c:pt idx="1">
                  <c:v>ISS_E15 BAN</c:v>
                </c:pt>
                <c:pt idx="2">
                  <c:v>STO_E15 PAR</c:v>
                </c:pt>
                <c:pt idx="3">
                  <c:v>STO_E15 BAN</c:v>
                </c:pt>
                <c:pt idx="4">
                  <c:v>ROM_E15 PAR</c:v>
                </c:pt>
                <c:pt idx="5">
                  <c:v>ROM_E15 BAN</c:v>
                </c:pt>
                <c:pt idx="6">
                  <c:v>IV13_E15 PAR</c:v>
                </c:pt>
                <c:pt idx="7">
                  <c:v>IV13_E15 BAN</c:v>
                </c:pt>
                <c:pt idx="8">
                  <c:v>Moyenne générale</c:v>
                </c:pt>
                <c:pt idx="9">
                  <c:v>Moyenne Paris</c:v>
                </c:pt>
                <c:pt idx="10">
                  <c:v>Moyenne Banlieue</c:v>
                </c:pt>
                <c:pt idx="11">
                  <c:v>Référence ADEME</c:v>
                </c:pt>
              </c:strCache>
            </c:strRef>
          </c:cat>
          <c:val>
            <c:numRef>
              <c:f>'PCI PB et PC'!$C$17:$M$17</c:f>
              <c:numCache>
                <c:formatCode>General</c:formatCode>
                <c:ptCount val="11"/>
                <c:pt idx="0">
                  <c:v>2221</c:v>
                </c:pt>
                <c:pt idx="1">
                  <c:v>2221</c:v>
                </c:pt>
                <c:pt idx="2">
                  <c:v>2221</c:v>
                </c:pt>
                <c:pt idx="3">
                  <c:v>2221</c:v>
                </c:pt>
                <c:pt idx="4">
                  <c:v>2221</c:v>
                </c:pt>
                <c:pt idx="5">
                  <c:v>2221</c:v>
                </c:pt>
                <c:pt idx="6">
                  <c:v>2221</c:v>
                </c:pt>
                <c:pt idx="7">
                  <c:v>2221</c:v>
                </c:pt>
                <c:pt idx="8">
                  <c:v>2221</c:v>
                </c:pt>
                <c:pt idx="9">
                  <c:v>2221</c:v>
                </c:pt>
                <c:pt idx="10">
                  <c:v>2221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E4-4AA3-8860-F1B0E8702F1F}"/>
            </c:ext>
          </c:extLst>
        </c:ser>
        <c:ser>
          <c:idx val="0"/>
          <c:order val="1"/>
          <c:tx>
            <c:v>Valeur cal/brut sur déchets après tri sommaire des fines et combustibles - Presta. C</c:v>
          </c:tx>
          <c:spPr>
            <a:ln w="22225"/>
          </c:spPr>
          <c:marker>
            <c:symbol val="none"/>
          </c:marker>
          <c:cat>
            <c:strRef>
              <c:f>'PCI PB et PC'!$T$4:$AE$4</c:f>
              <c:strCache>
                <c:ptCount val="12"/>
                <c:pt idx="0">
                  <c:v>ISS_E15 PAR</c:v>
                </c:pt>
                <c:pt idx="1">
                  <c:v>ISS_E15 BAN</c:v>
                </c:pt>
                <c:pt idx="2">
                  <c:v>STO_E15 PAR</c:v>
                </c:pt>
                <c:pt idx="3">
                  <c:v>STO_E15 BAN</c:v>
                </c:pt>
                <c:pt idx="4">
                  <c:v>ROM_E15 PAR</c:v>
                </c:pt>
                <c:pt idx="5">
                  <c:v>ROM_E15 BAN</c:v>
                </c:pt>
                <c:pt idx="6">
                  <c:v>IV13_E15 PAR</c:v>
                </c:pt>
                <c:pt idx="7">
                  <c:v>IV13_E15 BAN</c:v>
                </c:pt>
                <c:pt idx="8">
                  <c:v>Moyenne générale</c:v>
                </c:pt>
                <c:pt idx="9">
                  <c:v>Moyenne Paris</c:v>
                </c:pt>
                <c:pt idx="10">
                  <c:v>Moyenne Banlieue</c:v>
                </c:pt>
                <c:pt idx="11">
                  <c:v>Référence ADEME</c:v>
                </c:pt>
              </c:strCache>
            </c:strRef>
          </c:cat>
          <c:val>
            <c:numRef>
              <c:f>'PCI PB et PC'!$T$10:$AD$10</c:f>
              <c:numCache>
                <c:formatCode>#,##0</c:formatCode>
                <c:ptCount val="11"/>
                <c:pt idx="0">
                  <c:v>1937.4096693096724</c:v>
                </c:pt>
                <c:pt idx="1">
                  <c:v>2464.6642053281794</c:v>
                </c:pt>
                <c:pt idx="2">
                  <c:v>1930.4215697157595</c:v>
                </c:pt>
                <c:pt idx="3">
                  <c:v>2658.2207567544651</c:v>
                </c:pt>
                <c:pt idx="4">
                  <c:v>2259.7198320032835</c:v>
                </c:pt>
                <c:pt idx="5">
                  <c:v>2344.730081192381</c:v>
                </c:pt>
                <c:pt idx="6">
                  <c:v>1695.2089323876216</c:v>
                </c:pt>
                <c:pt idx="7">
                  <c:v>2235.3104863863291</c:v>
                </c:pt>
                <c:pt idx="8">
                  <c:v>2190.7106916347116</c:v>
                </c:pt>
                <c:pt idx="9">
                  <c:v>1955.6900008540842</c:v>
                </c:pt>
                <c:pt idx="10">
                  <c:v>2425.7313824153389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E4-4AA3-8860-F1B0E8702F1F}"/>
            </c:ext>
          </c:extLst>
        </c:ser>
        <c:ser>
          <c:idx val="1"/>
          <c:order val="2"/>
          <c:tx>
            <c:v>Valeur exp/brut sur déchets après tri par catégories - Presta. B</c:v>
          </c:tx>
          <c:spPr>
            <a:ln w="22225"/>
          </c:spPr>
          <c:marker>
            <c:symbol val="none"/>
          </c:marker>
          <c:cat>
            <c:strRef>
              <c:f>'PCI PB et PC'!$T$4:$AE$4</c:f>
              <c:strCache>
                <c:ptCount val="12"/>
                <c:pt idx="0">
                  <c:v>ISS_E15 PAR</c:v>
                </c:pt>
                <c:pt idx="1">
                  <c:v>ISS_E15 BAN</c:v>
                </c:pt>
                <c:pt idx="2">
                  <c:v>STO_E15 PAR</c:v>
                </c:pt>
                <c:pt idx="3">
                  <c:v>STO_E15 BAN</c:v>
                </c:pt>
                <c:pt idx="4">
                  <c:v>ROM_E15 PAR</c:v>
                </c:pt>
                <c:pt idx="5">
                  <c:v>ROM_E15 BAN</c:v>
                </c:pt>
                <c:pt idx="6">
                  <c:v>IV13_E15 PAR</c:v>
                </c:pt>
                <c:pt idx="7">
                  <c:v>IV13_E15 BAN</c:v>
                </c:pt>
                <c:pt idx="8">
                  <c:v>Moyenne générale</c:v>
                </c:pt>
                <c:pt idx="9">
                  <c:v>Moyenne Paris</c:v>
                </c:pt>
                <c:pt idx="10">
                  <c:v>Moyenne Banlieue</c:v>
                </c:pt>
                <c:pt idx="11">
                  <c:v>Référence ADEME</c:v>
                </c:pt>
              </c:strCache>
            </c:strRef>
          </c:cat>
          <c:val>
            <c:numRef>
              <c:f>'PCI PB et PC'!$T$13:$AD$13</c:f>
              <c:numCache>
                <c:formatCode>#,##0</c:formatCode>
                <c:ptCount val="11"/>
                <c:pt idx="0">
                  <c:v>2485.6191004011034</c:v>
                </c:pt>
                <c:pt idx="1">
                  <c:v>2532.3964582842327</c:v>
                </c:pt>
                <c:pt idx="2">
                  <c:v>1891.2833862843859</c:v>
                </c:pt>
                <c:pt idx="3">
                  <c:v>2536.5029479485606</c:v>
                </c:pt>
                <c:pt idx="4">
                  <c:v>1865.3254138513512</c:v>
                </c:pt>
                <c:pt idx="5">
                  <c:v>2086.3139860525939</c:v>
                </c:pt>
                <c:pt idx="6">
                  <c:v>2376.268835976151</c:v>
                </c:pt>
                <c:pt idx="7">
                  <c:v>2474.8741533691123</c:v>
                </c:pt>
                <c:pt idx="8">
                  <c:v>2281.0730352709361</c:v>
                </c:pt>
                <c:pt idx="9">
                  <c:v>2154.6241841282476</c:v>
                </c:pt>
                <c:pt idx="10">
                  <c:v>2407.5218864136245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3E4-4AA3-8860-F1B0E8702F1F}"/>
            </c:ext>
          </c:extLst>
        </c:ser>
        <c:ser>
          <c:idx val="2"/>
          <c:order val="3"/>
          <c:tx>
            <c:v>Valeur cal/brut sur déchets après tri en catégories - Presta. B</c:v>
          </c:tx>
          <c:spPr>
            <a:ln w="22225"/>
          </c:spPr>
          <c:marker>
            <c:symbol val="none"/>
          </c:marker>
          <c:cat>
            <c:strRef>
              <c:f>'PCI PB et PC'!$T$4:$AE$4</c:f>
              <c:strCache>
                <c:ptCount val="12"/>
                <c:pt idx="0">
                  <c:v>ISS_E15 PAR</c:v>
                </c:pt>
                <c:pt idx="1">
                  <c:v>ISS_E15 BAN</c:v>
                </c:pt>
                <c:pt idx="2">
                  <c:v>STO_E15 PAR</c:v>
                </c:pt>
                <c:pt idx="3">
                  <c:v>STO_E15 BAN</c:v>
                </c:pt>
                <c:pt idx="4">
                  <c:v>ROM_E15 PAR</c:v>
                </c:pt>
                <c:pt idx="5">
                  <c:v>ROM_E15 BAN</c:v>
                </c:pt>
                <c:pt idx="6">
                  <c:v>IV13_E15 PAR</c:v>
                </c:pt>
                <c:pt idx="7">
                  <c:v>IV13_E15 BAN</c:v>
                </c:pt>
                <c:pt idx="8">
                  <c:v>Moyenne générale</c:v>
                </c:pt>
                <c:pt idx="9">
                  <c:v>Moyenne Paris</c:v>
                </c:pt>
                <c:pt idx="10">
                  <c:v>Moyenne Banlieue</c:v>
                </c:pt>
                <c:pt idx="11">
                  <c:v>Référence ADEME</c:v>
                </c:pt>
              </c:strCache>
            </c:strRef>
          </c:cat>
          <c:val>
            <c:numRef>
              <c:f>'PCI PB et PC'!$T$14:$AD$14</c:f>
              <c:numCache>
                <c:formatCode>#,##0</c:formatCode>
                <c:ptCount val="11"/>
                <c:pt idx="0">
                  <c:v>2651.5062001754832</c:v>
                </c:pt>
                <c:pt idx="1">
                  <c:v>2554.5175009427298</c:v>
                </c:pt>
                <c:pt idx="2">
                  <c:v>2079.5857865168537</c:v>
                </c:pt>
                <c:pt idx="3">
                  <c:v>2718.3722694427429</c:v>
                </c:pt>
                <c:pt idx="4">
                  <c:v>2015.1378462837833</c:v>
                </c:pt>
                <c:pt idx="5">
                  <c:v>2235.279118117101</c:v>
                </c:pt>
                <c:pt idx="6">
                  <c:v>2530.5542219967015</c:v>
                </c:pt>
                <c:pt idx="7">
                  <c:v>2608.5408039355998</c:v>
                </c:pt>
                <c:pt idx="8">
                  <c:v>2424.1867184263747</c:v>
                </c:pt>
                <c:pt idx="9">
                  <c:v>2319.1960137432052</c:v>
                </c:pt>
                <c:pt idx="10">
                  <c:v>2529.1774231095433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3E4-4AA3-8860-F1B0E8702F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8505728"/>
        <c:axId val="88507520"/>
      </c:lineChart>
      <c:catAx>
        <c:axId val="88505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3300000"/>
          <a:lstStyle/>
          <a:p>
            <a:pPr>
              <a:defRPr sz="1000" b="1"/>
            </a:pPr>
            <a:endParaRPr lang="fr-FR"/>
          </a:p>
        </c:txPr>
        <c:crossAx val="88507520"/>
        <c:crosses val="autoZero"/>
        <c:auto val="1"/>
        <c:lblAlgn val="ctr"/>
        <c:lblOffset val="100"/>
        <c:noMultiLvlLbl val="0"/>
      </c:catAx>
      <c:valAx>
        <c:axId val="88507520"/>
        <c:scaling>
          <c:orientation val="minMax"/>
          <c:max val="2700"/>
          <c:min val="160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en cal/g</a:t>
                </a:r>
              </a:p>
            </c:rich>
          </c:tx>
          <c:layout>
            <c:manualLayout>
              <c:xMode val="edge"/>
              <c:yMode val="edge"/>
              <c:x val="1.6104371589321143E-2"/>
              <c:y val="0.35060650085264639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fr-FR"/>
          </a:p>
        </c:txPr>
        <c:crossAx val="8850572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5.9180299984682239E-3"/>
          <c:y val="0.79942245258262634"/>
          <c:w val="0.99259102057766657"/>
          <c:h val="0.17742868786274574"/>
        </c:manualLayout>
      </c:layout>
      <c:overlay val="1"/>
    </c:legend>
    <c:plotVisOnly val="1"/>
    <c:dispBlanksAs val="gap"/>
    <c:showDLblsOverMax val="0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4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5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6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7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8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9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0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1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2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3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4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4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5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6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7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8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9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0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1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2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3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5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6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7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8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9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0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1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2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3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4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5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6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7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8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9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0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1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2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3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4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5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6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7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8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9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0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1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2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3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4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5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6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7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8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9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0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1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2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3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4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5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6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7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8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9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0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1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2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3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4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5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6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7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8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9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0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1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2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3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4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5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6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7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8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9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0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1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2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3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4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5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6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7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8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9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0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1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2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3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4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5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6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7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8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9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0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1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2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3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4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5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6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7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8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9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0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1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2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3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4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5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6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7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8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9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40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41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42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43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44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45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46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47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48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49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50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51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52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53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54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55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4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5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6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7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8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9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0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1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2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3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4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5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6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7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8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9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0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1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2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3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4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5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6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7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8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9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0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1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2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3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4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5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6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7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8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9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0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1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2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3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4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5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6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7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8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9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0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1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2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3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4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5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6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7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8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9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0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1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2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3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4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5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6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7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8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9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0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1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2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3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4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5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6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7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8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9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0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1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2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3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4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5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6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7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8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9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0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1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2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3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4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5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6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7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8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9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0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1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2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3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4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5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6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7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8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9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0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1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2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3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4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5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6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7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8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9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0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1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2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3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4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5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6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7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8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9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0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1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2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3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4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5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6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7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8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9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0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1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2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3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4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5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6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7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8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9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0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1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2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3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4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5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6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7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8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9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0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1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2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3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4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5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6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7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8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9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0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1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2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3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4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5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6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7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8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9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0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1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2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3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4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5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6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7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8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9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0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1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2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3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4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5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6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7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8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9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0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1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2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3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4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5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6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7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8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9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0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1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2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3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4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5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6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7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8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9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0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1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2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3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4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5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6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7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8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9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0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1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2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3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4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5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6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7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8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9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0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1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2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3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4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5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6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7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8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9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0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1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2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3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4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5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6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7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8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9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0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1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2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3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4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5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6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7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8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9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0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1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2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3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4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5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6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7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8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9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0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1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2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3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4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5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6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7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8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9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0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1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2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3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4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5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6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7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8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9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0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1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2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3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4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5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6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7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8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9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0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1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2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3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4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5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6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7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8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9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0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1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2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3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4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5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6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7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8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9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0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1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2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3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4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5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6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7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8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9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0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1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2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3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4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5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6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7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8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9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0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1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2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3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4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5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6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7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8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9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0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1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2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3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4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5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6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7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8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9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40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41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42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43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44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4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5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6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7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8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9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0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1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2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3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4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5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6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7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8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9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0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1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2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3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4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5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6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7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8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9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0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1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2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3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4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5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6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7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8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9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0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1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2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3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4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5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6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7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8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9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0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1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2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3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4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5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6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7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9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0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1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2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3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4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5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6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7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8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9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0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1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2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3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4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5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6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7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8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9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0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1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2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3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4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5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6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7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8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9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0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1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2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3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4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5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6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7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8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9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0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1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2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3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4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5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6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7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8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9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0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1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2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3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4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5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6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7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8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9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40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41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42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43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44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4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5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6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7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8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9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0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1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2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3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4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5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6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7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8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9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0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1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2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3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4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5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6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7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8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9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0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1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2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3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4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5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6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7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8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9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0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1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2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3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4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5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6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7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8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9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0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1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2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3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4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5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6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7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8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9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0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1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2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3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4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5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6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7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8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9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0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1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2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3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4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5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6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7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8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9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0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1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2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3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4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5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6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7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8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9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0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1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2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3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4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5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6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7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8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9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0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1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2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3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4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5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6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7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8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9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0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1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2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3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4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5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6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7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8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9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0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1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2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3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4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5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6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7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8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9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40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41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42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43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44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45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46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47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48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49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50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51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52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53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54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55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4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5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6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7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8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9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0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1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2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3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4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5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6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7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8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9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0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1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2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3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4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5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6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7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8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9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0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1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2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3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4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5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6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7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8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9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0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1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2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3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4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5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6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7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8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9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0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1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2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3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4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5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6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7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8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9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0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1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2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3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4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5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6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7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8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9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0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1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2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3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4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5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6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7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8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9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0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1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2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3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4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5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6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7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8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9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0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1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2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3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4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5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6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7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8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9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0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1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2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3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4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5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6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7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8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9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0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1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2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3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4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5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6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7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8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9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0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1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2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3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4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5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6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7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8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9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0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1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2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3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4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5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6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7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8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9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0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1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2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3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4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5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6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7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8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9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0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1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2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3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4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5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6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7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8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9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0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1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2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3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4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5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6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7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8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9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0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1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2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3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4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5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6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7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8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9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0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1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2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3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4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5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6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7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8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9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0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1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2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3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4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5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6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7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8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9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0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1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2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3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4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5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6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7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8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9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0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1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2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3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4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5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6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7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8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9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0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1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2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3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4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5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6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7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8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9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0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1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2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3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4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5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6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7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8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9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0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1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2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3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4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5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6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7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8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9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40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41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42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43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44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4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5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6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7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8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9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0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1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2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3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4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5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6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7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8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9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0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1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2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3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4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5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6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7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8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9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0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1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2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3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4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5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6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7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8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9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0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1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2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3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4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5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6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7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8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9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0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1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2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3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4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5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6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7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8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9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0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1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2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3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4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5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6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7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8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9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0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1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2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3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4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5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6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7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8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9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0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1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2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3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4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5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6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7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8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9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0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1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2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3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4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5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6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7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8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9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0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1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2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3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4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5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6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7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8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9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0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1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2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3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4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5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6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7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8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9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0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1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2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3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11907</xdr:colOff>
      <xdr:row>17</xdr:row>
      <xdr:rowOff>104773</xdr:rowOff>
    </xdr:from>
    <xdr:to>
      <xdr:col>9</xdr:col>
      <xdr:colOff>511969</xdr:colOff>
      <xdr:row>33</xdr:row>
      <xdr:rowOff>0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1012030</xdr:colOff>
      <xdr:row>19</xdr:row>
      <xdr:rowOff>214314</xdr:rowOff>
    </xdr:from>
    <xdr:to>
      <xdr:col>26</xdr:col>
      <xdr:colOff>369091</xdr:colOff>
      <xdr:row>36</xdr:row>
      <xdr:rowOff>0</xdr:rowOff>
    </xdr:to>
    <xdr:graphicFrame macro="">
      <xdr:nvGraphicFramePr>
        <xdr:cNvPr id="3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4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5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6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7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8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9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0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1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2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3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4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4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5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6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7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8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9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0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1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2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3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5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6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7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8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9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0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1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2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3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4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5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6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7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8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9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0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1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2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3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4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5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6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7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8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9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0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1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2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3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4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5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6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7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9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0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1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2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3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4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5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6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7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8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9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8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9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0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1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2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3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4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5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6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7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8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0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1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2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3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4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5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6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7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8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9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0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1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2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3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4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5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6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7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8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9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0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1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2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3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4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5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6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7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8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9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0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1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2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3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4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5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6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7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8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9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0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1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2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3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4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5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6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7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8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9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40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41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42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43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44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45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46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47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48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49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50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51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52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53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54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55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4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5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6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7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8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9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0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1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2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3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4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5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6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7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8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9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0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1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2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3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4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5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6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7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8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9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0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1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2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3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4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5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6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7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8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9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0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1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2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3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4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5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6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7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8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9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0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1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2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3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4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5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6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7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8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9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0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1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2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3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4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5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6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7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8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9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0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1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2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3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4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5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6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7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8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9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0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1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2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3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4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5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6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7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8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9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0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1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2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3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4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5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6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7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8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9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0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1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2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3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4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5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6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7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8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9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0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1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2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3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4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5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6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7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8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9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0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1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2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3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4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5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6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7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8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9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40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41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42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43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44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45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46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47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48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49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50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51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52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53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54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55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4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5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6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7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8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9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0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1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2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3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4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5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6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7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8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9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0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1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2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3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4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5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6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7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8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9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0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1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2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3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4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5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6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7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8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9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0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1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2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3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4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5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6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7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8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9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0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1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2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3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4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5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6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7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8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9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0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1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2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3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4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5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6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7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8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9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0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1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2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3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4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5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6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7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8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9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0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1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2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3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4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5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6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7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8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9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0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1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2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3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4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5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6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7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8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9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0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1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2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3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4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5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6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7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8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9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0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1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2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3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4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5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6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7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8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9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0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1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2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3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4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5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6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7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8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9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40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41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42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43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44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45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46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47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48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49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50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51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52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53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54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55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4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5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6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7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8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9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0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1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2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3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4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5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6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7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8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9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0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1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2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3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4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5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6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7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8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9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0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1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2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3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4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5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6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7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8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9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0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1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2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3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4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5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6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7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8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9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0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1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2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3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4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5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6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7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8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9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0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1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2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3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4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5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6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7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8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9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0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1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2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3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4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5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6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7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8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9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0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1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2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3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4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5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6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7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8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9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0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1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2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3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4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5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6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7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8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9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0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1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2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3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4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5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6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7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8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9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0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1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2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3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4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5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6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7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8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9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0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1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2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3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4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5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6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7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8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9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40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41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42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43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44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45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46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47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48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49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50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51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52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53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54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55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4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5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6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7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8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9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0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1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2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3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4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5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6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7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8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9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0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1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2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3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4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5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6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7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8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9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0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1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2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3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4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5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6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7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8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9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0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1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2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3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4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5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6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7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8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9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0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1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2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3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4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5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6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7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8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9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0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1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2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3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4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5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6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7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8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9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0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1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2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3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4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5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6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7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8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9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0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1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2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3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4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5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6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7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8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9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0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1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2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3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4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5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6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7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8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9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0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1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2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3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4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5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6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7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8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9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0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1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2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3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4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5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6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7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8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9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40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41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42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43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44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45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46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47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48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49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50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51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52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53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54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55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56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57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58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59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60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61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62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63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64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65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66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67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68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69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70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71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72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73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74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75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76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77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78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79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80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81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82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83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84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85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86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87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88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89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90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91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92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93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94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95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96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97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98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99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00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01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02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03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04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05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06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07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08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09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10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11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12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13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14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15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16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17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18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19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20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21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22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23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24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25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26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27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28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29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30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31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32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4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5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6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7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8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9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0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1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2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3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4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4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5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6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7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8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9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0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1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2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3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5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6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7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8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9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0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1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2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3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4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5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6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7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8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9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0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1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2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3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4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5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6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7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8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9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0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1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2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3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4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5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6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7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8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9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0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1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2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3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4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5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6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7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8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9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0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1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2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3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4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5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6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7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8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9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0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1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2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3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4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5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6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7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8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9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0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1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2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3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4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5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6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7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8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9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0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1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2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3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4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5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6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7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8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9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0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1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2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3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4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5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6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7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8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9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0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1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2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3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4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5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6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7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8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9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40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41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42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43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44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45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46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47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48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49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50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51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52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53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54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55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56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57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58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59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60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61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62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63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64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65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66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4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5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6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7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8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9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0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1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2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3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4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5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6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7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8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9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0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1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2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3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4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5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6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7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8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9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0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1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2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3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4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5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6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7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8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9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0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1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2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3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4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5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6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7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8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9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0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1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2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3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4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5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6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7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8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9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0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1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2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3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4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5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6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7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8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9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0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1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2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3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4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5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6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7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8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9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0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1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2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3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4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5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6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7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8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9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0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1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2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3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4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5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6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7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8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9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0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1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2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3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4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5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6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7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8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9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0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1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2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3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4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5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6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7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8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9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0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1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2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3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4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5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6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7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8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9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40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41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42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43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44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228599</xdr:colOff>
      <xdr:row>71</xdr:row>
      <xdr:rowOff>19050</xdr:rowOff>
    </xdr:from>
    <xdr:to>
      <xdr:col>30</xdr:col>
      <xdr:colOff>619124</xdr:colOff>
      <xdr:row>91</xdr:row>
      <xdr:rowOff>57150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295274</xdr:colOff>
      <xdr:row>103</xdr:row>
      <xdr:rowOff>85724</xdr:rowOff>
    </xdr:from>
    <xdr:to>
      <xdr:col>23</xdr:col>
      <xdr:colOff>190499</xdr:colOff>
      <xdr:row>124</xdr:row>
      <xdr:rowOff>209550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495298</xdr:colOff>
      <xdr:row>147</xdr:row>
      <xdr:rowOff>38100</xdr:rowOff>
    </xdr:from>
    <xdr:to>
      <xdr:col>18</xdr:col>
      <xdr:colOff>266699</xdr:colOff>
      <xdr:row>163</xdr:row>
      <xdr:rowOff>161925</xdr:rowOff>
    </xdr:to>
    <xdr:graphicFrame macro="">
      <xdr:nvGraphicFramePr>
        <xdr:cNvPr id="15" name="Graphique 1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676275</xdr:colOff>
      <xdr:row>205</xdr:row>
      <xdr:rowOff>0</xdr:rowOff>
    </xdr:from>
    <xdr:to>
      <xdr:col>8</xdr:col>
      <xdr:colOff>762000</xdr:colOff>
      <xdr:row>205</xdr:row>
      <xdr:rowOff>200025</xdr:rowOff>
    </xdr:to>
    <xdr:sp macro="" textlink="">
      <xdr:nvSpPr>
        <xdr:cNvPr id="34" name="Text Box 1"/>
        <xdr:cNvSpPr txBox="1">
          <a:spLocks noChangeArrowheads="1"/>
        </xdr:cNvSpPr>
      </xdr:nvSpPr>
      <xdr:spPr bwMode="auto">
        <a:xfrm>
          <a:off x="8601075" y="37861875"/>
          <a:ext cx="85725" cy="1905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8</xdr:col>
      <xdr:colOff>676275</xdr:colOff>
      <xdr:row>205</xdr:row>
      <xdr:rowOff>0</xdr:rowOff>
    </xdr:from>
    <xdr:to>
      <xdr:col>8</xdr:col>
      <xdr:colOff>762000</xdr:colOff>
      <xdr:row>205</xdr:row>
      <xdr:rowOff>200025</xdr:rowOff>
    </xdr:to>
    <xdr:sp macro="" textlink="">
      <xdr:nvSpPr>
        <xdr:cNvPr id="35" name="Text Box 13"/>
        <xdr:cNvSpPr txBox="1">
          <a:spLocks noChangeArrowheads="1"/>
        </xdr:cNvSpPr>
      </xdr:nvSpPr>
      <xdr:spPr bwMode="auto">
        <a:xfrm>
          <a:off x="8601075" y="37861875"/>
          <a:ext cx="85725" cy="1905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8</xdr:col>
      <xdr:colOff>676275</xdr:colOff>
      <xdr:row>205</xdr:row>
      <xdr:rowOff>0</xdr:rowOff>
    </xdr:from>
    <xdr:to>
      <xdr:col>8</xdr:col>
      <xdr:colOff>762000</xdr:colOff>
      <xdr:row>205</xdr:row>
      <xdr:rowOff>200025</xdr:rowOff>
    </xdr:to>
    <xdr:sp macro="" textlink="">
      <xdr:nvSpPr>
        <xdr:cNvPr id="36" name="Text Box 14"/>
        <xdr:cNvSpPr txBox="1">
          <a:spLocks noChangeArrowheads="1"/>
        </xdr:cNvSpPr>
      </xdr:nvSpPr>
      <xdr:spPr bwMode="auto">
        <a:xfrm>
          <a:off x="8601075" y="37861875"/>
          <a:ext cx="85725" cy="1905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8</xdr:col>
      <xdr:colOff>676275</xdr:colOff>
      <xdr:row>205</xdr:row>
      <xdr:rowOff>0</xdr:rowOff>
    </xdr:from>
    <xdr:to>
      <xdr:col>8</xdr:col>
      <xdr:colOff>762000</xdr:colOff>
      <xdr:row>205</xdr:row>
      <xdr:rowOff>200025</xdr:rowOff>
    </xdr:to>
    <xdr:sp macro="" textlink="">
      <xdr:nvSpPr>
        <xdr:cNvPr id="37" name="Text Box 15"/>
        <xdr:cNvSpPr txBox="1">
          <a:spLocks noChangeArrowheads="1"/>
        </xdr:cNvSpPr>
      </xdr:nvSpPr>
      <xdr:spPr bwMode="auto">
        <a:xfrm>
          <a:off x="8601075" y="37861875"/>
          <a:ext cx="85725" cy="1905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8</xdr:col>
      <xdr:colOff>676275</xdr:colOff>
      <xdr:row>205</xdr:row>
      <xdr:rowOff>0</xdr:rowOff>
    </xdr:from>
    <xdr:to>
      <xdr:col>8</xdr:col>
      <xdr:colOff>762000</xdr:colOff>
      <xdr:row>205</xdr:row>
      <xdr:rowOff>200025</xdr:rowOff>
    </xdr:to>
    <xdr:sp macro="" textlink="">
      <xdr:nvSpPr>
        <xdr:cNvPr id="38" name="Text Box 17"/>
        <xdr:cNvSpPr txBox="1">
          <a:spLocks noChangeArrowheads="1"/>
        </xdr:cNvSpPr>
      </xdr:nvSpPr>
      <xdr:spPr bwMode="auto">
        <a:xfrm>
          <a:off x="8601075" y="37861875"/>
          <a:ext cx="85725" cy="1905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8</xdr:col>
      <xdr:colOff>676275</xdr:colOff>
      <xdr:row>205</xdr:row>
      <xdr:rowOff>0</xdr:rowOff>
    </xdr:from>
    <xdr:to>
      <xdr:col>8</xdr:col>
      <xdr:colOff>762000</xdr:colOff>
      <xdr:row>205</xdr:row>
      <xdr:rowOff>200025</xdr:rowOff>
    </xdr:to>
    <xdr:sp macro="" textlink="">
      <xdr:nvSpPr>
        <xdr:cNvPr id="39" name="Text Box 18"/>
        <xdr:cNvSpPr txBox="1">
          <a:spLocks noChangeArrowheads="1"/>
        </xdr:cNvSpPr>
      </xdr:nvSpPr>
      <xdr:spPr bwMode="auto">
        <a:xfrm>
          <a:off x="8601075" y="37861875"/>
          <a:ext cx="85725" cy="1905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8</xdr:col>
      <xdr:colOff>676275</xdr:colOff>
      <xdr:row>205</xdr:row>
      <xdr:rowOff>0</xdr:rowOff>
    </xdr:from>
    <xdr:to>
      <xdr:col>8</xdr:col>
      <xdr:colOff>762000</xdr:colOff>
      <xdr:row>205</xdr:row>
      <xdr:rowOff>200025</xdr:rowOff>
    </xdr:to>
    <xdr:sp macro="" textlink="">
      <xdr:nvSpPr>
        <xdr:cNvPr id="40" name="Text Box 1"/>
        <xdr:cNvSpPr txBox="1">
          <a:spLocks noChangeArrowheads="1"/>
        </xdr:cNvSpPr>
      </xdr:nvSpPr>
      <xdr:spPr bwMode="auto">
        <a:xfrm>
          <a:off x="8601075" y="37861875"/>
          <a:ext cx="85725" cy="1905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8</xdr:col>
      <xdr:colOff>676275</xdr:colOff>
      <xdr:row>205</xdr:row>
      <xdr:rowOff>0</xdr:rowOff>
    </xdr:from>
    <xdr:to>
      <xdr:col>8</xdr:col>
      <xdr:colOff>762000</xdr:colOff>
      <xdr:row>205</xdr:row>
      <xdr:rowOff>200025</xdr:rowOff>
    </xdr:to>
    <xdr:sp macro="" textlink="">
      <xdr:nvSpPr>
        <xdr:cNvPr id="41" name="Text Box 13"/>
        <xdr:cNvSpPr txBox="1">
          <a:spLocks noChangeArrowheads="1"/>
        </xdr:cNvSpPr>
      </xdr:nvSpPr>
      <xdr:spPr bwMode="auto">
        <a:xfrm>
          <a:off x="8601075" y="37861875"/>
          <a:ext cx="85725" cy="1905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8</xdr:col>
      <xdr:colOff>676275</xdr:colOff>
      <xdr:row>205</xdr:row>
      <xdr:rowOff>0</xdr:rowOff>
    </xdr:from>
    <xdr:to>
      <xdr:col>8</xdr:col>
      <xdr:colOff>762000</xdr:colOff>
      <xdr:row>205</xdr:row>
      <xdr:rowOff>200025</xdr:rowOff>
    </xdr:to>
    <xdr:sp macro="" textlink="">
      <xdr:nvSpPr>
        <xdr:cNvPr id="42" name="Text Box 14"/>
        <xdr:cNvSpPr txBox="1">
          <a:spLocks noChangeArrowheads="1"/>
        </xdr:cNvSpPr>
      </xdr:nvSpPr>
      <xdr:spPr bwMode="auto">
        <a:xfrm>
          <a:off x="8601075" y="37861875"/>
          <a:ext cx="85725" cy="1905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8</xdr:col>
      <xdr:colOff>676275</xdr:colOff>
      <xdr:row>205</xdr:row>
      <xdr:rowOff>0</xdr:rowOff>
    </xdr:from>
    <xdr:to>
      <xdr:col>8</xdr:col>
      <xdr:colOff>762000</xdr:colOff>
      <xdr:row>205</xdr:row>
      <xdr:rowOff>200025</xdr:rowOff>
    </xdr:to>
    <xdr:sp macro="" textlink="">
      <xdr:nvSpPr>
        <xdr:cNvPr id="43" name="Text Box 15"/>
        <xdr:cNvSpPr txBox="1">
          <a:spLocks noChangeArrowheads="1"/>
        </xdr:cNvSpPr>
      </xdr:nvSpPr>
      <xdr:spPr bwMode="auto">
        <a:xfrm>
          <a:off x="8601075" y="37861875"/>
          <a:ext cx="85725" cy="1905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8</xdr:col>
      <xdr:colOff>676275</xdr:colOff>
      <xdr:row>205</xdr:row>
      <xdr:rowOff>0</xdr:rowOff>
    </xdr:from>
    <xdr:to>
      <xdr:col>8</xdr:col>
      <xdr:colOff>762000</xdr:colOff>
      <xdr:row>205</xdr:row>
      <xdr:rowOff>200025</xdr:rowOff>
    </xdr:to>
    <xdr:sp macro="" textlink="">
      <xdr:nvSpPr>
        <xdr:cNvPr id="44" name="Text Box 1"/>
        <xdr:cNvSpPr txBox="1">
          <a:spLocks noChangeArrowheads="1"/>
        </xdr:cNvSpPr>
      </xdr:nvSpPr>
      <xdr:spPr bwMode="auto">
        <a:xfrm>
          <a:off x="8601075" y="37861875"/>
          <a:ext cx="85725" cy="1905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8</xdr:col>
      <xdr:colOff>676275</xdr:colOff>
      <xdr:row>205</xdr:row>
      <xdr:rowOff>0</xdr:rowOff>
    </xdr:from>
    <xdr:to>
      <xdr:col>8</xdr:col>
      <xdr:colOff>762000</xdr:colOff>
      <xdr:row>205</xdr:row>
      <xdr:rowOff>200025</xdr:rowOff>
    </xdr:to>
    <xdr:sp macro="" textlink="">
      <xdr:nvSpPr>
        <xdr:cNvPr id="45" name="Text Box 13"/>
        <xdr:cNvSpPr txBox="1">
          <a:spLocks noChangeArrowheads="1"/>
        </xdr:cNvSpPr>
      </xdr:nvSpPr>
      <xdr:spPr bwMode="auto">
        <a:xfrm>
          <a:off x="8601075" y="37861875"/>
          <a:ext cx="85725" cy="1905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8</xdr:col>
      <xdr:colOff>676275</xdr:colOff>
      <xdr:row>205</xdr:row>
      <xdr:rowOff>0</xdr:rowOff>
    </xdr:from>
    <xdr:to>
      <xdr:col>8</xdr:col>
      <xdr:colOff>762000</xdr:colOff>
      <xdr:row>205</xdr:row>
      <xdr:rowOff>200025</xdr:rowOff>
    </xdr:to>
    <xdr:sp macro="" textlink="">
      <xdr:nvSpPr>
        <xdr:cNvPr id="46" name="Text Box 14"/>
        <xdr:cNvSpPr txBox="1">
          <a:spLocks noChangeArrowheads="1"/>
        </xdr:cNvSpPr>
      </xdr:nvSpPr>
      <xdr:spPr bwMode="auto">
        <a:xfrm>
          <a:off x="8601075" y="37861875"/>
          <a:ext cx="85725" cy="1905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8</xdr:col>
      <xdr:colOff>676275</xdr:colOff>
      <xdr:row>205</xdr:row>
      <xdr:rowOff>0</xdr:rowOff>
    </xdr:from>
    <xdr:to>
      <xdr:col>8</xdr:col>
      <xdr:colOff>762000</xdr:colOff>
      <xdr:row>205</xdr:row>
      <xdr:rowOff>200025</xdr:rowOff>
    </xdr:to>
    <xdr:sp macro="" textlink="">
      <xdr:nvSpPr>
        <xdr:cNvPr id="47" name="Text Box 15"/>
        <xdr:cNvSpPr txBox="1">
          <a:spLocks noChangeArrowheads="1"/>
        </xdr:cNvSpPr>
      </xdr:nvSpPr>
      <xdr:spPr bwMode="auto">
        <a:xfrm>
          <a:off x="8601075" y="37861875"/>
          <a:ext cx="85725" cy="1905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8</xdr:col>
      <xdr:colOff>676275</xdr:colOff>
      <xdr:row>205</xdr:row>
      <xdr:rowOff>0</xdr:rowOff>
    </xdr:from>
    <xdr:to>
      <xdr:col>8</xdr:col>
      <xdr:colOff>762000</xdr:colOff>
      <xdr:row>205</xdr:row>
      <xdr:rowOff>200025</xdr:rowOff>
    </xdr:to>
    <xdr:sp macro="" textlink="">
      <xdr:nvSpPr>
        <xdr:cNvPr id="48" name="Text Box 17"/>
        <xdr:cNvSpPr txBox="1">
          <a:spLocks noChangeArrowheads="1"/>
        </xdr:cNvSpPr>
      </xdr:nvSpPr>
      <xdr:spPr bwMode="auto">
        <a:xfrm>
          <a:off x="8601075" y="37861875"/>
          <a:ext cx="85725" cy="1905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8</xdr:col>
      <xdr:colOff>676275</xdr:colOff>
      <xdr:row>205</xdr:row>
      <xdr:rowOff>0</xdr:rowOff>
    </xdr:from>
    <xdr:to>
      <xdr:col>8</xdr:col>
      <xdr:colOff>762000</xdr:colOff>
      <xdr:row>205</xdr:row>
      <xdr:rowOff>200025</xdr:rowOff>
    </xdr:to>
    <xdr:sp macro="" textlink="">
      <xdr:nvSpPr>
        <xdr:cNvPr id="49" name="Text Box 18"/>
        <xdr:cNvSpPr txBox="1">
          <a:spLocks noChangeArrowheads="1"/>
        </xdr:cNvSpPr>
      </xdr:nvSpPr>
      <xdr:spPr bwMode="auto">
        <a:xfrm>
          <a:off x="8601075" y="37861875"/>
          <a:ext cx="85725" cy="1905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8</xdr:col>
      <xdr:colOff>676275</xdr:colOff>
      <xdr:row>205</xdr:row>
      <xdr:rowOff>0</xdr:rowOff>
    </xdr:from>
    <xdr:to>
      <xdr:col>8</xdr:col>
      <xdr:colOff>762000</xdr:colOff>
      <xdr:row>205</xdr:row>
      <xdr:rowOff>200025</xdr:rowOff>
    </xdr:to>
    <xdr:sp macro="" textlink="">
      <xdr:nvSpPr>
        <xdr:cNvPr id="50" name="Text Box 1"/>
        <xdr:cNvSpPr txBox="1">
          <a:spLocks noChangeArrowheads="1"/>
        </xdr:cNvSpPr>
      </xdr:nvSpPr>
      <xdr:spPr bwMode="auto">
        <a:xfrm>
          <a:off x="8601075" y="37861875"/>
          <a:ext cx="85725" cy="1905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8</xdr:col>
      <xdr:colOff>676275</xdr:colOff>
      <xdr:row>205</xdr:row>
      <xdr:rowOff>0</xdr:rowOff>
    </xdr:from>
    <xdr:to>
      <xdr:col>8</xdr:col>
      <xdr:colOff>762000</xdr:colOff>
      <xdr:row>205</xdr:row>
      <xdr:rowOff>200025</xdr:rowOff>
    </xdr:to>
    <xdr:sp macro="" textlink="">
      <xdr:nvSpPr>
        <xdr:cNvPr id="51" name="Text Box 13"/>
        <xdr:cNvSpPr txBox="1">
          <a:spLocks noChangeArrowheads="1"/>
        </xdr:cNvSpPr>
      </xdr:nvSpPr>
      <xdr:spPr bwMode="auto">
        <a:xfrm>
          <a:off x="8601075" y="37861875"/>
          <a:ext cx="85725" cy="1905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676275</xdr:colOff>
      <xdr:row>205</xdr:row>
      <xdr:rowOff>0</xdr:rowOff>
    </xdr:from>
    <xdr:to>
      <xdr:col>10</xdr:col>
      <xdr:colOff>762000</xdr:colOff>
      <xdr:row>205</xdr:row>
      <xdr:rowOff>200025</xdr:rowOff>
    </xdr:to>
    <xdr:sp macro="" textlink="">
      <xdr:nvSpPr>
        <xdr:cNvPr id="52" name="Text Box 1"/>
        <xdr:cNvSpPr txBox="1">
          <a:spLocks noChangeArrowheads="1"/>
        </xdr:cNvSpPr>
      </xdr:nvSpPr>
      <xdr:spPr bwMode="auto">
        <a:xfrm>
          <a:off x="10125075" y="37861875"/>
          <a:ext cx="85725" cy="1905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676275</xdr:colOff>
      <xdr:row>205</xdr:row>
      <xdr:rowOff>0</xdr:rowOff>
    </xdr:from>
    <xdr:to>
      <xdr:col>10</xdr:col>
      <xdr:colOff>762000</xdr:colOff>
      <xdr:row>205</xdr:row>
      <xdr:rowOff>200025</xdr:rowOff>
    </xdr:to>
    <xdr:sp macro="" textlink="">
      <xdr:nvSpPr>
        <xdr:cNvPr id="53" name="Text Box 13"/>
        <xdr:cNvSpPr txBox="1">
          <a:spLocks noChangeArrowheads="1"/>
        </xdr:cNvSpPr>
      </xdr:nvSpPr>
      <xdr:spPr bwMode="auto">
        <a:xfrm>
          <a:off x="10125075" y="37861875"/>
          <a:ext cx="85725" cy="1905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676275</xdr:colOff>
      <xdr:row>205</xdr:row>
      <xdr:rowOff>0</xdr:rowOff>
    </xdr:from>
    <xdr:to>
      <xdr:col>10</xdr:col>
      <xdr:colOff>762000</xdr:colOff>
      <xdr:row>205</xdr:row>
      <xdr:rowOff>200025</xdr:rowOff>
    </xdr:to>
    <xdr:sp macro="" textlink="">
      <xdr:nvSpPr>
        <xdr:cNvPr id="54" name="Text Box 14"/>
        <xdr:cNvSpPr txBox="1">
          <a:spLocks noChangeArrowheads="1"/>
        </xdr:cNvSpPr>
      </xdr:nvSpPr>
      <xdr:spPr bwMode="auto">
        <a:xfrm>
          <a:off x="10125075" y="37861875"/>
          <a:ext cx="85725" cy="1905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676275</xdr:colOff>
      <xdr:row>205</xdr:row>
      <xdr:rowOff>0</xdr:rowOff>
    </xdr:from>
    <xdr:to>
      <xdr:col>10</xdr:col>
      <xdr:colOff>762000</xdr:colOff>
      <xdr:row>205</xdr:row>
      <xdr:rowOff>200025</xdr:rowOff>
    </xdr:to>
    <xdr:sp macro="" textlink="">
      <xdr:nvSpPr>
        <xdr:cNvPr id="55" name="Text Box 15"/>
        <xdr:cNvSpPr txBox="1">
          <a:spLocks noChangeArrowheads="1"/>
        </xdr:cNvSpPr>
      </xdr:nvSpPr>
      <xdr:spPr bwMode="auto">
        <a:xfrm>
          <a:off x="10125075" y="37861875"/>
          <a:ext cx="85725" cy="1905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676275</xdr:colOff>
      <xdr:row>205</xdr:row>
      <xdr:rowOff>0</xdr:rowOff>
    </xdr:from>
    <xdr:to>
      <xdr:col>10</xdr:col>
      <xdr:colOff>762000</xdr:colOff>
      <xdr:row>205</xdr:row>
      <xdr:rowOff>200025</xdr:rowOff>
    </xdr:to>
    <xdr:sp macro="" textlink="">
      <xdr:nvSpPr>
        <xdr:cNvPr id="56" name="Text Box 17"/>
        <xdr:cNvSpPr txBox="1">
          <a:spLocks noChangeArrowheads="1"/>
        </xdr:cNvSpPr>
      </xdr:nvSpPr>
      <xdr:spPr bwMode="auto">
        <a:xfrm>
          <a:off x="10125075" y="37861875"/>
          <a:ext cx="85725" cy="1905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676275</xdr:colOff>
      <xdr:row>205</xdr:row>
      <xdr:rowOff>0</xdr:rowOff>
    </xdr:from>
    <xdr:to>
      <xdr:col>10</xdr:col>
      <xdr:colOff>762000</xdr:colOff>
      <xdr:row>205</xdr:row>
      <xdr:rowOff>200025</xdr:rowOff>
    </xdr:to>
    <xdr:sp macro="" textlink="">
      <xdr:nvSpPr>
        <xdr:cNvPr id="57" name="Text Box 18"/>
        <xdr:cNvSpPr txBox="1">
          <a:spLocks noChangeArrowheads="1"/>
        </xdr:cNvSpPr>
      </xdr:nvSpPr>
      <xdr:spPr bwMode="auto">
        <a:xfrm>
          <a:off x="10125075" y="37861875"/>
          <a:ext cx="85725" cy="1905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676275</xdr:colOff>
      <xdr:row>205</xdr:row>
      <xdr:rowOff>0</xdr:rowOff>
    </xdr:from>
    <xdr:to>
      <xdr:col>10</xdr:col>
      <xdr:colOff>762000</xdr:colOff>
      <xdr:row>205</xdr:row>
      <xdr:rowOff>200025</xdr:rowOff>
    </xdr:to>
    <xdr:sp macro="" textlink="">
      <xdr:nvSpPr>
        <xdr:cNvPr id="58" name="Text Box 1"/>
        <xdr:cNvSpPr txBox="1">
          <a:spLocks noChangeArrowheads="1"/>
        </xdr:cNvSpPr>
      </xdr:nvSpPr>
      <xdr:spPr bwMode="auto">
        <a:xfrm>
          <a:off x="10125075" y="37861875"/>
          <a:ext cx="85725" cy="1905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676275</xdr:colOff>
      <xdr:row>205</xdr:row>
      <xdr:rowOff>0</xdr:rowOff>
    </xdr:from>
    <xdr:to>
      <xdr:col>10</xdr:col>
      <xdr:colOff>762000</xdr:colOff>
      <xdr:row>205</xdr:row>
      <xdr:rowOff>200025</xdr:rowOff>
    </xdr:to>
    <xdr:sp macro="" textlink="">
      <xdr:nvSpPr>
        <xdr:cNvPr id="59" name="Text Box 13"/>
        <xdr:cNvSpPr txBox="1">
          <a:spLocks noChangeArrowheads="1"/>
        </xdr:cNvSpPr>
      </xdr:nvSpPr>
      <xdr:spPr bwMode="auto">
        <a:xfrm>
          <a:off x="10125075" y="37861875"/>
          <a:ext cx="85725" cy="1905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676275</xdr:colOff>
      <xdr:row>205</xdr:row>
      <xdr:rowOff>0</xdr:rowOff>
    </xdr:from>
    <xdr:to>
      <xdr:col>10</xdr:col>
      <xdr:colOff>762000</xdr:colOff>
      <xdr:row>205</xdr:row>
      <xdr:rowOff>200025</xdr:rowOff>
    </xdr:to>
    <xdr:sp macro="" textlink="">
      <xdr:nvSpPr>
        <xdr:cNvPr id="60" name="Text Box 14"/>
        <xdr:cNvSpPr txBox="1">
          <a:spLocks noChangeArrowheads="1"/>
        </xdr:cNvSpPr>
      </xdr:nvSpPr>
      <xdr:spPr bwMode="auto">
        <a:xfrm>
          <a:off x="10125075" y="37861875"/>
          <a:ext cx="85725" cy="1905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676275</xdr:colOff>
      <xdr:row>205</xdr:row>
      <xdr:rowOff>0</xdr:rowOff>
    </xdr:from>
    <xdr:to>
      <xdr:col>10</xdr:col>
      <xdr:colOff>762000</xdr:colOff>
      <xdr:row>205</xdr:row>
      <xdr:rowOff>200025</xdr:rowOff>
    </xdr:to>
    <xdr:sp macro="" textlink="">
      <xdr:nvSpPr>
        <xdr:cNvPr id="61" name="Text Box 15"/>
        <xdr:cNvSpPr txBox="1">
          <a:spLocks noChangeArrowheads="1"/>
        </xdr:cNvSpPr>
      </xdr:nvSpPr>
      <xdr:spPr bwMode="auto">
        <a:xfrm>
          <a:off x="10125075" y="37861875"/>
          <a:ext cx="85725" cy="1905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676275</xdr:colOff>
      <xdr:row>205</xdr:row>
      <xdr:rowOff>0</xdr:rowOff>
    </xdr:from>
    <xdr:to>
      <xdr:col>10</xdr:col>
      <xdr:colOff>762000</xdr:colOff>
      <xdr:row>205</xdr:row>
      <xdr:rowOff>200025</xdr:rowOff>
    </xdr:to>
    <xdr:sp macro="" textlink="">
      <xdr:nvSpPr>
        <xdr:cNvPr id="62" name="Text Box 1"/>
        <xdr:cNvSpPr txBox="1">
          <a:spLocks noChangeArrowheads="1"/>
        </xdr:cNvSpPr>
      </xdr:nvSpPr>
      <xdr:spPr bwMode="auto">
        <a:xfrm>
          <a:off x="10125075" y="37861875"/>
          <a:ext cx="85725" cy="1905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676275</xdr:colOff>
      <xdr:row>205</xdr:row>
      <xdr:rowOff>0</xdr:rowOff>
    </xdr:from>
    <xdr:to>
      <xdr:col>10</xdr:col>
      <xdr:colOff>762000</xdr:colOff>
      <xdr:row>205</xdr:row>
      <xdr:rowOff>200025</xdr:rowOff>
    </xdr:to>
    <xdr:sp macro="" textlink="">
      <xdr:nvSpPr>
        <xdr:cNvPr id="63" name="Text Box 13"/>
        <xdr:cNvSpPr txBox="1">
          <a:spLocks noChangeArrowheads="1"/>
        </xdr:cNvSpPr>
      </xdr:nvSpPr>
      <xdr:spPr bwMode="auto">
        <a:xfrm>
          <a:off x="10125075" y="37861875"/>
          <a:ext cx="85725" cy="1905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676275</xdr:colOff>
      <xdr:row>205</xdr:row>
      <xdr:rowOff>0</xdr:rowOff>
    </xdr:from>
    <xdr:to>
      <xdr:col>10</xdr:col>
      <xdr:colOff>762000</xdr:colOff>
      <xdr:row>205</xdr:row>
      <xdr:rowOff>200025</xdr:rowOff>
    </xdr:to>
    <xdr:sp macro="" textlink="">
      <xdr:nvSpPr>
        <xdr:cNvPr id="64" name="Text Box 14"/>
        <xdr:cNvSpPr txBox="1">
          <a:spLocks noChangeArrowheads="1"/>
        </xdr:cNvSpPr>
      </xdr:nvSpPr>
      <xdr:spPr bwMode="auto">
        <a:xfrm>
          <a:off x="10125075" y="37861875"/>
          <a:ext cx="85725" cy="1905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676275</xdr:colOff>
      <xdr:row>205</xdr:row>
      <xdr:rowOff>0</xdr:rowOff>
    </xdr:from>
    <xdr:to>
      <xdr:col>10</xdr:col>
      <xdr:colOff>762000</xdr:colOff>
      <xdr:row>205</xdr:row>
      <xdr:rowOff>200025</xdr:rowOff>
    </xdr:to>
    <xdr:sp macro="" textlink="">
      <xdr:nvSpPr>
        <xdr:cNvPr id="65" name="Text Box 15"/>
        <xdr:cNvSpPr txBox="1">
          <a:spLocks noChangeArrowheads="1"/>
        </xdr:cNvSpPr>
      </xdr:nvSpPr>
      <xdr:spPr bwMode="auto">
        <a:xfrm>
          <a:off x="10125075" y="37861875"/>
          <a:ext cx="85725" cy="1905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676275</xdr:colOff>
      <xdr:row>205</xdr:row>
      <xdr:rowOff>0</xdr:rowOff>
    </xdr:from>
    <xdr:to>
      <xdr:col>10</xdr:col>
      <xdr:colOff>762000</xdr:colOff>
      <xdr:row>205</xdr:row>
      <xdr:rowOff>200025</xdr:rowOff>
    </xdr:to>
    <xdr:sp macro="" textlink="">
      <xdr:nvSpPr>
        <xdr:cNvPr id="66" name="Text Box 17"/>
        <xdr:cNvSpPr txBox="1">
          <a:spLocks noChangeArrowheads="1"/>
        </xdr:cNvSpPr>
      </xdr:nvSpPr>
      <xdr:spPr bwMode="auto">
        <a:xfrm>
          <a:off x="10125075" y="37861875"/>
          <a:ext cx="85725" cy="1905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676275</xdr:colOff>
      <xdr:row>205</xdr:row>
      <xdr:rowOff>0</xdr:rowOff>
    </xdr:from>
    <xdr:to>
      <xdr:col>10</xdr:col>
      <xdr:colOff>762000</xdr:colOff>
      <xdr:row>205</xdr:row>
      <xdr:rowOff>200025</xdr:rowOff>
    </xdr:to>
    <xdr:sp macro="" textlink="">
      <xdr:nvSpPr>
        <xdr:cNvPr id="67" name="Text Box 18"/>
        <xdr:cNvSpPr txBox="1">
          <a:spLocks noChangeArrowheads="1"/>
        </xdr:cNvSpPr>
      </xdr:nvSpPr>
      <xdr:spPr bwMode="auto">
        <a:xfrm>
          <a:off x="10125075" y="37861875"/>
          <a:ext cx="85725" cy="1905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676275</xdr:colOff>
      <xdr:row>205</xdr:row>
      <xdr:rowOff>0</xdr:rowOff>
    </xdr:from>
    <xdr:to>
      <xdr:col>10</xdr:col>
      <xdr:colOff>762000</xdr:colOff>
      <xdr:row>205</xdr:row>
      <xdr:rowOff>200025</xdr:rowOff>
    </xdr:to>
    <xdr:sp macro="" textlink="">
      <xdr:nvSpPr>
        <xdr:cNvPr id="68" name="Text Box 1"/>
        <xdr:cNvSpPr txBox="1">
          <a:spLocks noChangeArrowheads="1"/>
        </xdr:cNvSpPr>
      </xdr:nvSpPr>
      <xdr:spPr bwMode="auto">
        <a:xfrm>
          <a:off x="10125075" y="37861875"/>
          <a:ext cx="85725" cy="1905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676275</xdr:colOff>
      <xdr:row>205</xdr:row>
      <xdr:rowOff>0</xdr:rowOff>
    </xdr:from>
    <xdr:to>
      <xdr:col>10</xdr:col>
      <xdr:colOff>762000</xdr:colOff>
      <xdr:row>205</xdr:row>
      <xdr:rowOff>200025</xdr:rowOff>
    </xdr:to>
    <xdr:sp macro="" textlink="">
      <xdr:nvSpPr>
        <xdr:cNvPr id="69" name="Text Box 13"/>
        <xdr:cNvSpPr txBox="1">
          <a:spLocks noChangeArrowheads="1"/>
        </xdr:cNvSpPr>
      </xdr:nvSpPr>
      <xdr:spPr bwMode="auto">
        <a:xfrm>
          <a:off x="10125075" y="37861875"/>
          <a:ext cx="85725" cy="1905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676275</xdr:colOff>
      <xdr:row>205</xdr:row>
      <xdr:rowOff>0</xdr:rowOff>
    </xdr:from>
    <xdr:to>
      <xdr:col>10</xdr:col>
      <xdr:colOff>762000</xdr:colOff>
      <xdr:row>205</xdr:row>
      <xdr:rowOff>200025</xdr:rowOff>
    </xdr:to>
    <xdr:sp macro="" textlink="">
      <xdr:nvSpPr>
        <xdr:cNvPr id="70" name="Text Box 1"/>
        <xdr:cNvSpPr txBox="1">
          <a:spLocks noChangeArrowheads="1"/>
        </xdr:cNvSpPr>
      </xdr:nvSpPr>
      <xdr:spPr bwMode="auto">
        <a:xfrm>
          <a:off x="10125075" y="37861875"/>
          <a:ext cx="85725" cy="1905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676275</xdr:colOff>
      <xdr:row>205</xdr:row>
      <xdr:rowOff>0</xdr:rowOff>
    </xdr:from>
    <xdr:to>
      <xdr:col>10</xdr:col>
      <xdr:colOff>762000</xdr:colOff>
      <xdr:row>205</xdr:row>
      <xdr:rowOff>200025</xdr:rowOff>
    </xdr:to>
    <xdr:sp macro="" textlink="">
      <xdr:nvSpPr>
        <xdr:cNvPr id="71" name="Text Box 13"/>
        <xdr:cNvSpPr txBox="1">
          <a:spLocks noChangeArrowheads="1"/>
        </xdr:cNvSpPr>
      </xdr:nvSpPr>
      <xdr:spPr bwMode="auto">
        <a:xfrm>
          <a:off x="10125075" y="37861875"/>
          <a:ext cx="85725" cy="1905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676275</xdr:colOff>
      <xdr:row>205</xdr:row>
      <xdr:rowOff>0</xdr:rowOff>
    </xdr:from>
    <xdr:to>
      <xdr:col>10</xdr:col>
      <xdr:colOff>762000</xdr:colOff>
      <xdr:row>205</xdr:row>
      <xdr:rowOff>200025</xdr:rowOff>
    </xdr:to>
    <xdr:sp macro="" textlink="">
      <xdr:nvSpPr>
        <xdr:cNvPr id="72" name="Text Box 14"/>
        <xdr:cNvSpPr txBox="1">
          <a:spLocks noChangeArrowheads="1"/>
        </xdr:cNvSpPr>
      </xdr:nvSpPr>
      <xdr:spPr bwMode="auto">
        <a:xfrm>
          <a:off x="10125075" y="37861875"/>
          <a:ext cx="85725" cy="1905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676275</xdr:colOff>
      <xdr:row>205</xdr:row>
      <xdr:rowOff>0</xdr:rowOff>
    </xdr:from>
    <xdr:to>
      <xdr:col>10</xdr:col>
      <xdr:colOff>762000</xdr:colOff>
      <xdr:row>205</xdr:row>
      <xdr:rowOff>200025</xdr:rowOff>
    </xdr:to>
    <xdr:sp macro="" textlink="">
      <xdr:nvSpPr>
        <xdr:cNvPr id="73" name="Text Box 15"/>
        <xdr:cNvSpPr txBox="1">
          <a:spLocks noChangeArrowheads="1"/>
        </xdr:cNvSpPr>
      </xdr:nvSpPr>
      <xdr:spPr bwMode="auto">
        <a:xfrm>
          <a:off x="10125075" y="37861875"/>
          <a:ext cx="85725" cy="1905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676275</xdr:colOff>
      <xdr:row>205</xdr:row>
      <xdr:rowOff>0</xdr:rowOff>
    </xdr:from>
    <xdr:to>
      <xdr:col>10</xdr:col>
      <xdr:colOff>762000</xdr:colOff>
      <xdr:row>205</xdr:row>
      <xdr:rowOff>200025</xdr:rowOff>
    </xdr:to>
    <xdr:sp macro="" textlink="">
      <xdr:nvSpPr>
        <xdr:cNvPr id="74" name="Text Box 17"/>
        <xdr:cNvSpPr txBox="1">
          <a:spLocks noChangeArrowheads="1"/>
        </xdr:cNvSpPr>
      </xdr:nvSpPr>
      <xdr:spPr bwMode="auto">
        <a:xfrm>
          <a:off x="10125075" y="37861875"/>
          <a:ext cx="85725" cy="1905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676275</xdr:colOff>
      <xdr:row>205</xdr:row>
      <xdr:rowOff>0</xdr:rowOff>
    </xdr:from>
    <xdr:to>
      <xdr:col>10</xdr:col>
      <xdr:colOff>762000</xdr:colOff>
      <xdr:row>205</xdr:row>
      <xdr:rowOff>200025</xdr:rowOff>
    </xdr:to>
    <xdr:sp macro="" textlink="">
      <xdr:nvSpPr>
        <xdr:cNvPr id="75" name="Text Box 18"/>
        <xdr:cNvSpPr txBox="1">
          <a:spLocks noChangeArrowheads="1"/>
        </xdr:cNvSpPr>
      </xdr:nvSpPr>
      <xdr:spPr bwMode="auto">
        <a:xfrm>
          <a:off x="10125075" y="37861875"/>
          <a:ext cx="85725" cy="1905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676275</xdr:colOff>
      <xdr:row>205</xdr:row>
      <xdr:rowOff>0</xdr:rowOff>
    </xdr:from>
    <xdr:to>
      <xdr:col>10</xdr:col>
      <xdr:colOff>762000</xdr:colOff>
      <xdr:row>205</xdr:row>
      <xdr:rowOff>200025</xdr:rowOff>
    </xdr:to>
    <xdr:sp macro="" textlink="">
      <xdr:nvSpPr>
        <xdr:cNvPr id="76" name="Text Box 1"/>
        <xdr:cNvSpPr txBox="1">
          <a:spLocks noChangeArrowheads="1"/>
        </xdr:cNvSpPr>
      </xdr:nvSpPr>
      <xdr:spPr bwMode="auto">
        <a:xfrm>
          <a:off x="10125075" y="37861875"/>
          <a:ext cx="85725" cy="1905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676275</xdr:colOff>
      <xdr:row>205</xdr:row>
      <xdr:rowOff>0</xdr:rowOff>
    </xdr:from>
    <xdr:to>
      <xdr:col>10</xdr:col>
      <xdr:colOff>762000</xdr:colOff>
      <xdr:row>205</xdr:row>
      <xdr:rowOff>200025</xdr:rowOff>
    </xdr:to>
    <xdr:sp macro="" textlink="">
      <xdr:nvSpPr>
        <xdr:cNvPr id="77" name="Text Box 13"/>
        <xdr:cNvSpPr txBox="1">
          <a:spLocks noChangeArrowheads="1"/>
        </xdr:cNvSpPr>
      </xdr:nvSpPr>
      <xdr:spPr bwMode="auto">
        <a:xfrm>
          <a:off x="10125075" y="37861875"/>
          <a:ext cx="85725" cy="1905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676275</xdr:colOff>
      <xdr:row>205</xdr:row>
      <xdr:rowOff>0</xdr:rowOff>
    </xdr:from>
    <xdr:to>
      <xdr:col>10</xdr:col>
      <xdr:colOff>762000</xdr:colOff>
      <xdr:row>205</xdr:row>
      <xdr:rowOff>200025</xdr:rowOff>
    </xdr:to>
    <xdr:sp macro="" textlink="">
      <xdr:nvSpPr>
        <xdr:cNvPr id="78" name="Text Box 14"/>
        <xdr:cNvSpPr txBox="1">
          <a:spLocks noChangeArrowheads="1"/>
        </xdr:cNvSpPr>
      </xdr:nvSpPr>
      <xdr:spPr bwMode="auto">
        <a:xfrm>
          <a:off x="10125075" y="37861875"/>
          <a:ext cx="85725" cy="1905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676275</xdr:colOff>
      <xdr:row>205</xdr:row>
      <xdr:rowOff>0</xdr:rowOff>
    </xdr:from>
    <xdr:to>
      <xdr:col>10</xdr:col>
      <xdr:colOff>762000</xdr:colOff>
      <xdr:row>205</xdr:row>
      <xdr:rowOff>200025</xdr:rowOff>
    </xdr:to>
    <xdr:sp macro="" textlink="">
      <xdr:nvSpPr>
        <xdr:cNvPr id="79" name="Text Box 15"/>
        <xdr:cNvSpPr txBox="1">
          <a:spLocks noChangeArrowheads="1"/>
        </xdr:cNvSpPr>
      </xdr:nvSpPr>
      <xdr:spPr bwMode="auto">
        <a:xfrm>
          <a:off x="10125075" y="37861875"/>
          <a:ext cx="85725" cy="1905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676275</xdr:colOff>
      <xdr:row>205</xdr:row>
      <xdr:rowOff>0</xdr:rowOff>
    </xdr:from>
    <xdr:to>
      <xdr:col>10</xdr:col>
      <xdr:colOff>762000</xdr:colOff>
      <xdr:row>205</xdr:row>
      <xdr:rowOff>200025</xdr:rowOff>
    </xdr:to>
    <xdr:sp macro="" textlink="">
      <xdr:nvSpPr>
        <xdr:cNvPr id="80" name="Text Box 1"/>
        <xdr:cNvSpPr txBox="1">
          <a:spLocks noChangeArrowheads="1"/>
        </xdr:cNvSpPr>
      </xdr:nvSpPr>
      <xdr:spPr bwMode="auto">
        <a:xfrm>
          <a:off x="10125075" y="37861875"/>
          <a:ext cx="85725" cy="1905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676275</xdr:colOff>
      <xdr:row>205</xdr:row>
      <xdr:rowOff>0</xdr:rowOff>
    </xdr:from>
    <xdr:to>
      <xdr:col>10</xdr:col>
      <xdr:colOff>762000</xdr:colOff>
      <xdr:row>205</xdr:row>
      <xdr:rowOff>200025</xdr:rowOff>
    </xdr:to>
    <xdr:sp macro="" textlink="">
      <xdr:nvSpPr>
        <xdr:cNvPr id="81" name="Text Box 13"/>
        <xdr:cNvSpPr txBox="1">
          <a:spLocks noChangeArrowheads="1"/>
        </xdr:cNvSpPr>
      </xdr:nvSpPr>
      <xdr:spPr bwMode="auto">
        <a:xfrm>
          <a:off x="10125075" y="37861875"/>
          <a:ext cx="85725" cy="1905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676275</xdr:colOff>
      <xdr:row>205</xdr:row>
      <xdr:rowOff>0</xdr:rowOff>
    </xdr:from>
    <xdr:to>
      <xdr:col>10</xdr:col>
      <xdr:colOff>762000</xdr:colOff>
      <xdr:row>205</xdr:row>
      <xdr:rowOff>200025</xdr:rowOff>
    </xdr:to>
    <xdr:sp macro="" textlink="">
      <xdr:nvSpPr>
        <xdr:cNvPr id="82" name="Text Box 14"/>
        <xdr:cNvSpPr txBox="1">
          <a:spLocks noChangeArrowheads="1"/>
        </xdr:cNvSpPr>
      </xdr:nvSpPr>
      <xdr:spPr bwMode="auto">
        <a:xfrm>
          <a:off x="10125075" y="37861875"/>
          <a:ext cx="85725" cy="1905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676275</xdr:colOff>
      <xdr:row>205</xdr:row>
      <xdr:rowOff>0</xdr:rowOff>
    </xdr:from>
    <xdr:to>
      <xdr:col>10</xdr:col>
      <xdr:colOff>762000</xdr:colOff>
      <xdr:row>205</xdr:row>
      <xdr:rowOff>200025</xdr:rowOff>
    </xdr:to>
    <xdr:sp macro="" textlink="">
      <xdr:nvSpPr>
        <xdr:cNvPr id="83" name="Text Box 15"/>
        <xdr:cNvSpPr txBox="1">
          <a:spLocks noChangeArrowheads="1"/>
        </xdr:cNvSpPr>
      </xdr:nvSpPr>
      <xdr:spPr bwMode="auto">
        <a:xfrm>
          <a:off x="10125075" y="37861875"/>
          <a:ext cx="85725" cy="1905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676275</xdr:colOff>
      <xdr:row>205</xdr:row>
      <xdr:rowOff>0</xdr:rowOff>
    </xdr:from>
    <xdr:to>
      <xdr:col>10</xdr:col>
      <xdr:colOff>762000</xdr:colOff>
      <xdr:row>205</xdr:row>
      <xdr:rowOff>200025</xdr:rowOff>
    </xdr:to>
    <xdr:sp macro="" textlink="">
      <xdr:nvSpPr>
        <xdr:cNvPr id="84" name="Text Box 17"/>
        <xdr:cNvSpPr txBox="1">
          <a:spLocks noChangeArrowheads="1"/>
        </xdr:cNvSpPr>
      </xdr:nvSpPr>
      <xdr:spPr bwMode="auto">
        <a:xfrm>
          <a:off x="10125075" y="37861875"/>
          <a:ext cx="85725" cy="1905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676275</xdr:colOff>
      <xdr:row>205</xdr:row>
      <xdr:rowOff>0</xdr:rowOff>
    </xdr:from>
    <xdr:to>
      <xdr:col>10</xdr:col>
      <xdr:colOff>762000</xdr:colOff>
      <xdr:row>205</xdr:row>
      <xdr:rowOff>200025</xdr:rowOff>
    </xdr:to>
    <xdr:sp macro="" textlink="">
      <xdr:nvSpPr>
        <xdr:cNvPr id="85" name="Text Box 18"/>
        <xdr:cNvSpPr txBox="1">
          <a:spLocks noChangeArrowheads="1"/>
        </xdr:cNvSpPr>
      </xdr:nvSpPr>
      <xdr:spPr bwMode="auto">
        <a:xfrm>
          <a:off x="10125075" y="37861875"/>
          <a:ext cx="85725" cy="1905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676275</xdr:colOff>
      <xdr:row>205</xdr:row>
      <xdr:rowOff>0</xdr:rowOff>
    </xdr:from>
    <xdr:to>
      <xdr:col>10</xdr:col>
      <xdr:colOff>762000</xdr:colOff>
      <xdr:row>205</xdr:row>
      <xdr:rowOff>200025</xdr:rowOff>
    </xdr:to>
    <xdr:sp macro="" textlink="">
      <xdr:nvSpPr>
        <xdr:cNvPr id="86" name="Text Box 1"/>
        <xdr:cNvSpPr txBox="1">
          <a:spLocks noChangeArrowheads="1"/>
        </xdr:cNvSpPr>
      </xdr:nvSpPr>
      <xdr:spPr bwMode="auto">
        <a:xfrm>
          <a:off x="10125075" y="37861875"/>
          <a:ext cx="85725" cy="1905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676275</xdr:colOff>
      <xdr:row>205</xdr:row>
      <xdr:rowOff>0</xdr:rowOff>
    </xdr:from>
    <xdr:to>
      <xdr:col>10</xdr:col>
      <xdr:colOff>762000</xdr:colOff>
      <xdr:row>205</xdr:row>
      <xdr:rowOff>200025</xdr:rowOff>
    </xdr:to>
    <xdr:sp macro="" textlink="">
      <xdr:nvSpPr>
        <xdr:cNvPr id="87" name="Text Box 13"/>
        <xdr:cNvSpPr txBox="1">
          <a:spLocks noChangeArrowheads="1"/>
        </xdr:cNvSpPr>
      </xdr:nvSpPr>
      <xdr:spPr bwMode="auto">
        <a:xfrm>
          <a:off x="10125075" y="37861875"/>
          <a:ext cx="85725" cy="1905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676275</xdr:colOff>
      <xdr:row>205</xdr:row>
      <xdr:rowOff>0</xdr:rowOff>
    </xdr:from>
    <xdr:to>
      <xdr:col>12</xdr:col>
      <xdr:colOff>762000</xdr:colOff>
      <xdr:row>205</xdr:row>
      <xdr:rowOff>200025</xdr:rowOff>
    </xdr:to>
    <xdr:sp macro="" textlink="">
      <xdr:nvSpPr>
        <xdr:cNvPr id="88" name="Text Box 1"/>
        <xdr:cNvSpPr txBox="1">
          <a:spLocks noChangeArrowheads="1"/>
        </xdr:cNvSpPr>
      </xdr:nvSpPr>
      <xdr:spPr bwMode="auto">
        <a:xfrm>
          <a:off x="11649075" y="37861875"/>
          <a:ext cx="85725" cy="1905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676275</xdr:colOff>
      <xdr:row>205</xdr:row>
      <xdr:rowOff>0</xdr:rowOff>
    </xdr:from>
    <xdr:to>
      <xdr:col>12</xdr:col>
      <xdr:colOff>762000</xdr:colOff>
      <xdr:row>205</xdr:row>
      <xdr:rowOff>200025</xdr:rowOff>
    </xdr:to>
    <xdr:sp macro="" textlink="">
      <xdr:nvSpPr>
        <xdr:cNvPr id="89" name="Text Box 13"/>
        <xdr:cNvSpPr txBox="1">
          <a:spLocks noChangeArrowheads="1"/>
        </xdr:cNvSpPr>
      </xdr:nvSpPr>
      <xdr:spPr bwMode="auto">
        <a:xfrm>
          <a:off x="11649075" y="37861875"/>
          <a:ext cx="85725" cy="1905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676275</xdr:colOff>
      <xdr:row>205</xdr:row>
      <xdr:rowOff>0</xdr:rowOff>
    </xdr:from>
    <xdr:to>
      <xdr:col>12</xdr:col>
      <xdr:colOff>762000</xdr:colOff>
      <xdr:row>205</xdr:row>
      <xdr:rowOff>200025</xdr:rowOff>
    </xdr:to>
    <xdr:sp macro="" textlink="">
      <xdr:nvSpPr>
        <xdr:cNvPr id="90" name="Text Box 14"/>
        <xdr:cNvSpPr txBox="1">
          <a:spLocks noChangeArrowheads="1"/>
        </xdr:cNvSpPr>
      </xdr:nvSpPr>
      <xdr:spPr bwMode="auto">
        <a:xfrm>
          <a:off x="11649075" y="37861875"/>
          <a:ext cx="85725" cy="1905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676275</xdr:colOff>
      <xdr:row>205</xdr:row>
      <xdr:rowOff>0</xdr:rowOff>
    </xdr:from>
    <xdr:to>
      <xdr:col>12</xdr:col>
      <xdr:colOff>762000</xdr:colOff>
      <xdr:row>205</xdr:row>
      <xdr:rowOff>200025</xdr:rowOff>
    </xdr:to>
    <xdr:sp macro="" textlink="">
      <xdr:nvSpPr>
        <xdr:cNvPr id="91" name="Text Box 15"/>
        <xdr:cNvSpPr txBox="1">
          <a:spLocks noChangeArrowheads="1"/>
        </xdr:cNvSpPr>
      </xdr:nvSpPr>
      <xdr:spPr bwMode="auto">
        <a:xfrm>
          <a:off x="11649075" y="37861875"/>
          <a:ext cx="85725" cy="1905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676275</xdr:colOff>
      <xdr:row>205</xdr:row>
      <xdr:rowOff>0</xdr:rowOff>
    </xdr:from>
    <xdr:to>
      <xdr:col>12</xdr:col>
      <xdr:colOff>762000</xdr:colOff>
      <xdr:row>205</xdr:row>
      <xdr:rowOff>200025</xdr:rowOff>
    </xdr:to>
    <xdr:sp macro="" textlink="">
      <xdr:nvSpPr>
        <xdr:cNvPr id="92" name="Text Box 17"/>
        <xdr:cNvSpPr txBox="1">
          <a:spLocks noChangeArrowheads="1"/>
        </xdr:cNvSpPr>
      </xdr:nvSpPr>
      <xdr:spPr bwMode="auto">
        <a:xfrm>
          <a:off x="11649075" y="37861875"/>
          <a:ext cx="85725" cy="1905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676275</xdr:colOff>
      <xdr:row>205</xdr:row>
      <xdr:rowOff>0</xdr:rowOff>
    </xdr:from>
    <xdr:to>
      <xdr:col>12</xdr:col>
      <xdr:colOff>762000</xdr:colOff>
      <xdr:row>205</xdr:row>
      <xdr:rowOff>200025</xdr:rowOff>
    </xdr:to>
    <xdr:sp macro="" textlink="">
      <xdr:nvSpPr>
        <xdr:cNvPr id="93" name="Text Box 18"/>
        <xdr:cNvSpPr txBox="1">
          <a:spLocks noChangeArrowheads="1"/>
        </xdr:cNvSpPr>
      </xdr:nvSpPr>
      <xdr:spPr bwMode="auto">
        <a:xfrm>
          <a:off x="11649075" y="37861875"/>
          <a:ext cx="85725" cy="1905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676275</xdr:colOff>
      <xdr:row>205</xdr:row>
      <xdr:rowOff>0</xdr:rowOff>
    </xdr:from>
    <xdr:to>
      <xdr:col>12</xdr:col>
      <xdr:colOff>762000</xdr:colOff>
      <xdr:row>205</xdr:row>
      <xdr:rowOff>200025</xdr:rowOff>
    </xdr:to>
    <xdr:sp macro="" textlink="">
      <xdr:nvSpPr>
        <xdr:cNvPr id="94" name="Text Box 1"/>
        <xdr:cNvSpPr txBox="1">
          <a:spLocks noChangeArrowheads="1"/>
        </xdr:cNvSpPr>
      </xdr:nvSpPr>
      <xdr:spPr bwMode="auto">
        <a:xfrm>
          <a:off x="11649075" y="37861875"/>
          <a:ext cx="85725" cy="1905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676275</xdr:colOff>
      <xdr:row>205</xdr:row>
      <xdr:rowOff>0</xdr:rowOff>
    </xdr:from>
    <xdr:to>
      <xdr:col>12</xdr:col>
      <xdr:colOff>762000</xdr:colOff>
      <xdr:row>205</xdr:row>
      <xdr:rowOff>200025</xdr:rowOff>
    </xdr:to>
    <xdr:sp macro="" textlink="">
      <xdr:nvSpPr>
        <xdr:cNvPr id="95" name="Text Box 13"/>
        <xdr:cNvSpPr txBox="1">
          <a:spLocks noChangeArrowheads="1"/>
        </xdr:cNvSpPr>
      </xdr:nvSpPr>
      <xdr:spPr bwMode="auto">
        <a:xfrm>
          <a:off x="11649075" y="37861875"/>
          <a:ext cx="85725" cy="1905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676275</xdr:colOff>
      <xdr:row>205</xdr:row>
      <xdr:rowOff>0</xdr:rowOff>
    </xdr:from>
    <xdr:to>
      <xdr:col>12</xdr:col>
      <xdr:colOff>762000</xdr:colOff>
      <xdr:row>205</xdr:row>
      <xdr:rowOff>200025</xdr:rowOff>
    </xdr:to>
    <xdr:sp macro="" textlink="">
      <xdr:nvSpPr>
        <xdr:cNvPr id="96" name="Text Box 14"/>
        <xdr:cNvSpPr txBox="1">
          <a:spLocks noChangeArrowheads="1"/>
        </xdr:cNvSpPr>
      </xdr:nvSpPr>
      <xdr:spPr bwMode="auto">
        <a:xfrm>
          <a:off x="11649075" y="37861875"/>
          <a:ext cx="85725" cy="1905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676275</xdr:colOff>
      <xdr:row>205</xdr:row>
      <xdr:rowOff>0</xdr:rowOff>
    </xdr:from>
    <xdr:to>
      <xdr:col>12</xdr:col>
      <xdr:colOff>762000</xdr:colOff>
      <xdr:row>205</xdr:row>
      <xdr:rowOff>200025</xdr:rowOff>
    </xdr:to>
    <xdr:sp macro="" textlink="">
      <xdr:nvSpPr>
        <xdr:cNvPr id="97" name="Text Box 15"/>
        <xdr:cNvSpPr txBox="1">
          <a:spLocks noChangeArrowheads="1"/>
        </xdr:cNvSpPr>
      </xdr:nvSpPr>
      <xdr:spPr bwMode="auto">
        <a:xfrm>
          <a:off x="11649075" y="37861875"/>
          <a:ext cx="85725" cy="1905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676275</xdr:colOff>
      <xdr:row>205</xdr:row>
      <xdr:rowOff>0</xdr:rowOff>
    </xdr:from>
    <xdr:to>
      <xdr:col>12</xdr:col>
      <xdr:colOff>762000</xdr:colOff>
      <xdr:row>205</xdr:row>
      <xdr:rowOff>200025</xdr:rowOff>
    </xdr:to>
    <xdr:sp macro="" textlink="">
      <xdr:nvSpPr>
        <xdr:cNvPr id="98" name="Text Box 1"/>
        <xdr:cNvSpPr txBox="1">
          <a:spLocks noChangeArrowheads="1"/>
        </xdr:cNvSpPr>
      </xdr:nvSpPr>
      <xdr:spPr bwMode="auto">
        <a:xfrm>
          <a:off x="11649075" y="37861875"/>
          <a:ext cx="85725" cy="1905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676275</xdr:colOff>
      <xdr:row>205</xdr:row>
      <xdr:rowOff>0</xdr:rowOff>
    </xdr:from>
    <xdr:to>
      <xdr:col>12</xdr:col>
      <xdr:colOff>762000</xdr:colOff>
      <xdr:row>205</xdr:row>
      <xdr:rowOff>200025</xdr:rowOff>
    </xdr:to>
    <xdr:sp macro="" textlink="">
      <xdr:nvSpPr>
        <xdr:cNvPr id="99" name="Text Box 13"/>
        <xdr:cNvSpPr txBox="1">
          <a:spLocks noChangeArrowheads="1"/>
        </xdr:cNvSpPr>
      </xdr:nvSpPr>
      <xdr:spPr bwMode="auto">
        <a:xfrm>
          <a:off x="11649075" y="37861875"/>
          <a:ext cx="85725" cy="1905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676275</xdr:colOff>
      <xdr:row>205</xdr:row>
      <xdr:rowOff>0</xdr:rowOff>
    </xdr:from>
    <xdr:to>
      <xdr:col>12</xdr:col>
      <xdr:colOff>762000</xdr:colOff>
      <xdr:row>205</xdr:row>
      <xdr:rowOff>200025</xdr:rowOff>
    </xdr:to>
    <xdr:sp macro="" textlink="">
      <xdr:nvSpPr>
        <xdr:cNvPr id="100" name="Text Box 14"/>
        <xdr:cNvSpPr txBox="1">
          <a:spLocks noChangeArrowheads="1"/>
        </xdr:cNvSpPr>
      </xdr:nvSpPr>
      <xdr:spPr bwMode="auto">
        <a:xfrm>
          <a:off x="11649075" y="37861875"/>
          <a:ext cx="85725" cy="1905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676275</xdr:colOff>
      <xdr:row>205</xdr:row>
      <xdr:rowOff>0</xdr:rowOff>
    </xdr:from>
    <xdr:to>
      <xdr:col>12</xdr:col>
      <xdr:colOff>762000</xdr:colOff>
      <xdr:row>205</xdr:row>
      <xdr:rowOff>200025</xdr:rowOff>
    </xdr:to>
    <xdr:sp macro="" textlink="">
      <xdr:nvSpPr>
        <xdr:cNvPr id="101" name="Text Box 15"/>
        <xdr:cNvSpPr txBox="1">
          <a:spLocks noChangeArrowheads="1"/>
        </xdr:cNvSpPr>
      </xdr:nvSpPr>
      <xdr:spPr bwMode="auto">
        <a:xfrm>
          <a:off x="11649075" y="37861875"/>
          <a:ext cx="85725" cy="1905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676275</xdr:colOff>
      <xdr:row>205</xdr:row>
      <xdr:rowOff>0</xdr:rowOff>
    </xdr:from>
    <xdr:to>
      <xdr:col>12</xdr:col>
      <xdr:colOff>762000</xdr:colOff>
      <xdr:row>205</xdr:row>
      <xdr:rowOff>200025</xdr:rowOff>
    </xdr:to>
    <xdr:sp macro="" textlink="">
      <xdr:nvSpPr>
        <xdr:cNvPr id="102" name="Text Box 17"/>
        <xdr:cNvSpPr txBox="1">
          <a:spLocks noChangeArrowheads="1"/>
        </xdr:cNvSpPr>
      </xdr:nvSpPr>
      <xdr:spPr bwMode="auto">
        <a:xfrm>
          <a:off x="11649075" y="37861875"/>
          <a:ext cx="85725" cy="1905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676275</xdr:colOff>
      <xdr:row>205</xdr:row>
      <xdr:rowOff>0</xdr:rowOff>
    </xdr:from>
    <xdr:to>
      <xdr:col>12</xdr:col>
      <xdr:colOff>762000</xdr:colOff>
      <xdr:row>205</xdr:row>
      <xdr:rowOff>200025</xdr:rowOff>
    </xdr:to>
    <xdr:sp macro="" textlink="">
      <xdr:nvSpPr>
        <xdr:cNvPr id="103" name="Text Box 18"/>
        <xdr:cNvSpPr txBox="1">
          <a:spLocks noChangeArrowheads="1"/>
        </xdr:cNvSpPr>
      </xdr:nvSpPr>
      <xdr:spPr bwMode="auto">
        <a:xfrm>
          <a:off x="11649075" y="37861875"/>
          <a:ext cx="85725" cy="1905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676275</xdr:colOff>
      <xdr:row>205</xdr:row>
      <xdr:rowOff>0</xdr:rowOff>
    </xdr:from>
    <xdr:to>
      <xdr:col>12</xdr:col>
      <xdr:colOff>762000</xdr:colOff>
      <xdr:row>205</xdr:row>
      <xdr:rowOff>200025</xdr:rowOff>
    </xdr:to>
    <xdr:sp macro="" textlink="">
      <xdr:nvSpPr>
        <xdr:cNvPr id="104" name="Text Box 1"/>
        <xdr:cNvSpPr txBox="1">
          <a:spLocks noChangeArrowheads="1"/>
        </xdr:cNvSpPr>
      </xdr:nvSpPr>
      <xdr:spPr bwMode="auto">
        <a:xfrm>
          <a:off x="11649075" y="37861875"/>
          <a:ext cx="85725" cy="1905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676275</xdr:colOff>
      <xdr:row>205</xdr:row>
      <xdr:rowOff>0</xdr:rowOff>
    </xdr:from>
    <xdr:to>
      <xdr:col>12</xdr:col>
      <xdr:colOff>762000</xdr:colOff>
      <xdr:row>205</xdr:row>
      <xdr:rowOff>200025</xdr:rowOff>
    </xdr:to>
    <xdr:sp macro="" textlink="">
      <xdr:nvSpPr>
        <xdr:cNvPr id="105" name="Text Box 13"/>
        <xdr:cNvSpPr txBox="1">
          <a:spLocks noChangeArrowheads="1"/>
        </xdr:cNvSpPr>
      </xdr:nvSpPr>
      <xdr:spPr bwMode="auto">
        <a:xfrm>
          <a:off x="11649075" y="37861875"/>
          <a:ext cx="85725" cy="1905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4</xdr:row>
      <xdr:rowOff>0</xdr:rowOff>
    </xdr:from>
    <xdr:to>
      <xdr:col>0</xdr:col>
      <xdr:colOff>762000</xdr:colOff>
      <xdr:row>4</xdr:row>
      <xdr:rowOff>200025</xdr:rowOff>
    </xdr:to>
    <xdr:sp macro="" textlink="">
      <xdr:nvSpPr>
        <xdr:cNvPr id="106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4</xdr:row>
      <xdr:rowOff>0</xdr:rowOff>
    </xdr:from>
    <xdr:to>
      <xdr:col>0</xdr:col>
      <xdr:colOff>762000</xdr:colOff>
      <xdr:row>4</xdr:row>
      <xdr:rowOff>200025</xdr:rowOff>
    </xdr:to>
    <xdr:sp macro="" textlink="">
      <xdr:nvSpPr>
        <xdr:cNvPr id="107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4</xdr:row>
      <xdr:rowOff>0</xdr:rowOff>
    </xdr:from>
    <xdr:to>
      <xdr:col>0</xdr:col>
      <xdr:colOff>762000</xdr:colOff>
      <xdr:row>4</xdr:row>
      <xdr:rowOff>200025</xdr:rowOff>
    </xdr:to>
    <xdr:sp macro="" textlink="">
      <xdr:nvSpPr>
        <xdr:cNvPr id="108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4</xdr:row>
      <xdr:rowOff>0</xdr:rowOff>
    </xdr:from>
    <xdr:to>
      <xdr:col>0</xdr:col>
      <xdr:colOff>762000</xdr:colOff>
      <xdr:row>4</xdr:row>
      <xdr:rowOff>200025</xdr:rowOff>
    </xdr:to>
    <xdr:sp macro="" textlink="">
      <xdr:nvSpPr>
        <xdr:cNvPr id="109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4</xdr:row>
      <xdr:rowOff>0</xdr:rowOff>
    </xdr:from>
    <xdr:to>
      <xdr:col>0</xdr:col>
      <xdr:colOff>762000</xdr:colOff>
      <xdr:row>4</xdr:row>
      <xdr:rowOff>200025</xdr:rowOff>
    </xdr:to>
    <xdr:sp macro="" textlink="">
      <xdr:nvSpPr>
        <xdr:cNvPr id="110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4</xdr:row>
      <xdr:rowOff>0</xdr:rowOff>
    </xdr:from>
    <xdr:to>
      <xdr:col>0</xdr:col>
      <xdr:colOff>762000</xdr:colOff>
      <xdr:row>4</xdr:row>
      <xdr:rowOff>200025</xdr:rowOff>
    </xdr:to>
    <xdr:sp macro="" textlink="">
      <xdr:nvSpPr>
        <xdr:cNvPr id="111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4</xdr:row>
      <xdr:rowOff>0</xdr:rowOff>
    </xdr:from>
    <xdr:to>
      <xdr:col>0</xdr:col>
      <xdr:colOff>762000</xdr:colOff>
      <xdr:row>4</xdr:row>
      <xdr:rowOff>200025</xdr:rowOff>
    </xdr:to>
    <xdr:sp macro="" textlink="">
      <xdr:nvSpPr>
        <xdr:cNvPr id="112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4</xdr:row>
      <xdr:rowOff>0</xdr:rowOff>
    </xdr:from>
    <xdr:to>
      <xdr:col>0</xdr:col>
      <xdr:colOff>762000</xdr:colOff>
      <xdr:row>4</xdr:row>
      <xdr:rowOff>200025</xdr:rowOff>
    </xdr:to>
    <xdr:sp macro="" textlink="">
      <xdr:nvSpPr>
        <xdr:cNvPr id="113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4</xdr:row>
      <xdr:rowOff>0</xdr:rowOff>
    </xdr:from>
    <xdr:to>
      <xdr:col>0</xdr:col>
      <xdr:colOff>762000</xdr:colOff>
      <xdr:row>4</xdr:row>
      <xdr:rowOff>200025</xdr:rowOff>
    </xdr:to>
    <xdr:sp macro="" textlink="">
      <xdr:nvSpPr>
        <xdr:cNvPr id="114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4</xdr:row>
      <xdr:rowOff>0</xdr:rowOff>
    </xdr:from>
    <xdr:to>
      <xdr:col>0</xdr:col>
      <xdr:colOff>762000</xdr:colOff>
      <xdr:row>4</xdr:row>
      <xdr:rowOff>200025</xdr:rowOff>
    </xdr:to>
    <xdr:sp macro="" textlink="">
      <xdr:nvSpPr>
        <xdr:cNvPr id="115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4</xdr:row>
      <xdr:rowOff>0</xdr:rowOff>
    </xdr:from>
    <xdr:to>
      <xdr:col>0</xdr:col>
      <xdr:colOff>762000</xdr:colOff>
      <xdr:row>4</xdr:row>
      <xdr:rowOff>200025</xdr:rowOff>
    </xdr:to>
    <xdr:sp macro="" textlink="">
      <xdr:nvSpPr>
        <xdr:cNvPr id="116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4</xdr:row>
      <xdr:rowOff>0</xdr:rowOff>
    </xdr:from>
    <xdr:to>
      <xdr:col>0</xdr:col>
      <xdr:colOff>762000</xdr:colOff>
      <xdr:row>4</xdr:row>
      <xdr:rowOff>200025</xdr:rowOff>
    </xdr:to>
    <xdr:sp macro="" textlink="">
      <xdr:nvSpPr>
        <xdr:cNvPr id="117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4</xdr:row>
      <xdr:rowOff>0</xdr:rowOff>
    </xdr:from>
    <xdr:to>
      <xdr:col>0</xdr:col>
      <xdr:colOff>762000</xdr:colOff>
      <xdr:row>4</xdr:row>
      <xdr:rowOff>200025</xdr:rowOff>
    </xdr:to>
    <xdr:sp macro="" textlink="">
      <xdr:nvSpPr>
        <xdr:cNvPr id="118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4</xdr:row>
      <xdr:rowOff>0</xdr:rowOff>
    </xdr:from>
    <xdr:to>
      <xdr:col>0</xdr:col>
      <xdr:colOff>762000</xdr:colOff>
      <xdr:row>4</xdr:row>
      <xdr:rowOff>200025</xdr:rowOff>
    </xdr:to>
    <xdr:sp macro="" textlink="">
      <xdr:nvSpPr>
        <xdr:cNvPr id="119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4</xdr:row>
      <xdr:rowOff>0</xdr:rowOff>
    </xdr:from>
    <xdr:to>
      <xdr:col>0</xdr:col>
      <xdr:colOff>762000</xdr:colOff>
      <xdr:row>4</xdr:row>
      <xdr:rowOff>200025</xdr:rowOff>
    </xdr:to>
    <xdr:sp macro="" textlink="">
      <xdr:nvSpPr>
        <xdr:cNvPr id="120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4</xdr:row>
      <xdr:rowOff>0</xdr:rowOff>
    </xdr:from>
    <xdr:to>
      <xdr:col>0</xdr:col>
      <xdr:colOff>762000</xdr:colOff>
      <xdr:row>4</xdr:row>
      <xdr:rowOff>200025</xdr:rowOff>
    </xdr:to>
    <xdr:sp macro="" textlink="">
      <xdr:nvSpPr>
        <xdr:cNvPr id="121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4</xdr:row>
      <xdr:rowOff>0</xdr:rowOff>
    </xdr:from>
    <xdr:to>
      <xdr:col>0</xdr:col>
      <xdr:colOff>762000</xdr:colOff>
      <xdr:row>4</xdr:row>
      <xdr:rowOff>200025</xdr:rowOff>
    </xdr:to>
    <xdr:sp macro="" textlink="">
      <xdr:nvSpPr>
        <xdr:cNvPr id="122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4</xdr:row>
      <xdr:rowOff>0</xdr:rowOff>
    </xdr:from>
    <xdr:to>
      <xdr:col>0</xdr:col>
      <xdr:colOff>762000</xdr:colOff>
      <xdr:row>4</xdr:row>
      <xdr:rowOff>200025</xdr:rowOff>
    </xdr:to>
    <xdr:sp macro="" textlink="">
      <xdr:nvSpPr>
        <xdr:cNvPr id="123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4</xdr:row>
      <xdr:rowOff>0</xdr:rowOff>
    </xdr:from>
    <xdr:to>
      <xdr:col>0</xdr:col>
      <xdr:colOff>762000</xdr:colOff>
      <xdr:row>4</xdr:row>
      <xdr:rowOff>200025</xdr:rowOff>
    </xdr:to>
    <xdr:sp macro="" textlink="">
      <xdr:nvSpPr>
        <xdr:cNvPr id="124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4</xdr:row>
      <xdr:rowOff>0</xdr:rowOff>
    </xdr:from>
    <xdr:to>
      <xdr:col>0</xdr:col>
      <xdr:colOff>762000</xdr:colOff>
      <xdr:row>4</xdr:row>
      <xdr:rowOff>200025</xdr:rowOff>
    </xdr:to>
    <xdr:sp macro="" textlink="">
      <xdr:nvSpPr>
        <xdr:cNvPr id="125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4</xdr:row>
      <xdr:rowOff>0</xdr:rowOff>
    </xdr:from>
    <xdr:to>
      <xdr:col>0</xdr:col>
      <xdr:colOff>762000</xdr:colOff>
      <xdr:row>4</xdr:row>
      <xdr:rowOff>200025</xdr:rowOff>
    </xdr:to>
    <xdr:sp macro="" textlink="">
      <xdr:nvSpPr>
        <xdr:cNvPr id="126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4</xdr:row>
      <xdr:rowOff>0</xdr:rowOff>
    </xdr:from>
    <xdr:to>
      <xdr:col>0</xdr:col>
      <xdr:colOff>762000</xdr:colOff>
      <xdr:row>4</xdr:row>
      <xdr:rowOff>200025</xdr:rowOff>
    </xdr:to>
    <xdr:sp macro="" textlink="">
      <xdr:nvSpPr>
        <xdr:cNvPr id="127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4</xdr:row>
      <xdr:rowOff>0</xdr:rowOff>
    </xdr:from>
    <xdr:to>
      <xdr:col>0</xdr:col>
      <xdr:colOff>762000</xdr:colOff>
      <xdr:row>4</xdr:row>
      <xdr:rowOff>200025</xdr:rowOff>
    </xdr:to>
    <xdr:sp macro="" textlink="">
      <xdr:nvSpPr>
        <xdr:cNvPr id="128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4</xdr:row>
      <xdr:rowOff>0</xdr:rowOff>
    </xdr:from>
    <xdr:to>
      <xdr:col>0</xdr:col>
      <xdr:colOff>762000</xdr:colOff>
      <xdr:row>4</xdr:row>
      <xdr:rowOff>200025</xdr:rowOff>
    </xdr:to>
    <xdr:sp macro="" textlink="">
      <xdr:nvSpPr>
        <xdr:cNvPr id="129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4</xdr:row>
      <xdr:rowOff>0</xdr:rowOff>
    </xdr:from>
    <xdr:to>
      <xdr:col>0</xdr:col>
      <xdr:colOff>762000</xdr:colOff>
      <xdr:row>4</xdr:row>
      <xdr:rowOff>200025</xdr:rowOff>
    </xdr:to>
    <xdr:sp macro="" textlink="">
      <xdr:nvSpPr>
        <xdr:cNvPr id="130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4</xdr:row>
      <xdr:rowOff>0</xdr:rowOff>
    </xdr:from>
    <xdr:to>
      <xdr:col>0</xdr:col>
      <xdr:colOff>762000</xdr:colOff>
      <xdr:row>4</xdr:row>
      <xdr:rowOff>200025</xdr:rowOff>
    </xdr:to>
    <xdr:sp macro="" textlink="">
      <xdr:nvSpPr>
        <xdr:cNvPr id="131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4</xdr:row>
      <xdr:rowOff>0</xdr:rowOff>
    </xdr:from>
    <xdr:to>
      <xdr:col>0</xdr:col>
      <xdr:colOff>762000</xdr:colOff>
      <xdr:row>4</xdr:row>
      <xdr:rowOff>200025</xdr:rowOff>
    </xdr:to>
    <xdr:sp macro="" textlink="">
      <xdr:nvSpPr>
        <xdr:cNvPr id="132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4</xdr:row>
      <xdr:rowOff>0</xdr:rowOff>
    </xdr:from>
    <xdr:to>
      <xdr:col>0</xdr:col>
      <xdr:colOff>762000</xdr:colOff>
      <xdr:row>4</xdr:row>
      <xdr:rowOff>200025</xdr:rowOff>
    </xdr:to>
    <xdr:sp macro="" textlink="">
      <xdr:nvSpPr>
        <xdr:cNvPr id="133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4</xdr:row>
      <xdr:rowOff>0</xdr:rowOff>
    </xdr:from>
    <xdr:to>
      <xdr:col>0</xdr:col>
      <xdr:colOff>762000</xdr:colOff>
      <xdr:row>4</xdr:row>
      <xdr:rowOff>200025</xdr:rowOff>
    </xdr:to>
    <xdr:sp macro="" textlink="">
      <xdr:nvSpPr>
        <xdr:cNvPr id="134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4</xdr:row>
      <xdr:rowOff>0</xdr:rowOff>
    </xdr:from>
    <xdr:to>
      <xdr:col>0</xdr:col>
      <xdr:colOff>762000</xdr:colOff>
      <xdr:row>4</xdr:row>
      <xdr:rowOff>200025</xdr:rowOff>
    </xdr:to>
    <xdr:sp macro="" textlink="">
      <xdr:nvSpPr>
        <xdr:cNvPr id="135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4</xdr:row>
      <xdr:rowOff>0</xdr:rowOff>
    </xdr:from>
    <xdr:to>
      <xdr:col>0</xdr:col>
      <xdr:colOff>762000</xdr:colOff>
      <xdr:row>4</xdr:row>
      <xdr:rowOff>200025</xdr:rowOff>
    </xdr:to>
    <xdr:sp macro="" textlink="">
      <xdr:nvSpPr>
        <xdr:cNvPr id="136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4</xdr:row>
      <xdr:rowOff>0</xdr:rowOff>
    </xdr:from>
    <xdr:to>
      <xdr:col>0</xdr:col>
      <xdr:colOff>762000</xdr:colOff>
      <xdr:row>4</xdr:row>
      <xdr:rowOff>200025</xdr:rowOff>
    </xdr:to>
    <xdr:sp macro="" textlink="">
      <xdr:nvSpPr>
        <xdr:cNvPr id="137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4</xdr:row>
      <xdr:rowOff>0</xdr:rowOff>
    </xdr:from>
    <xdr:to>
      <xdr:col>0</xdr:col>
      <xdr:colOff>762000</xdr:colOff>
      <xdr:row>4</xdr:row>
      <xdr:rowOff>200025</xdr:rowOff>
    </xdr:to>
    <xdr:sp macro="" textlink="">
      <xdr:nvSpPr>
        <xdr:cNvPr id="138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4</xdr:row>
      <xdr:rowOff>0</xdr:rowOff>
    </xdr:from>
    <xdr:to>
      <xdr:col>0</xdr:col>
      <xdr:colOff>762000</xdr:colOff>
      <xdr:row>4</xdr:row>
      <xdr:rowOff>200025</xdr:rowOff>
    </xdr:to>
    <xdr:sp macro="" textlink="">
      <xdr:nvSpPr>
        <xdr:cNvPr id="139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4</xdr:row>
      <xdr:rowOff>0</xdr:rowOff>
    </xdr:from>
    <xdr:to>
      <xdr:col>0</xdr:col>
      <xdr:colOff>762000</xdr:colOff>
      <xdr:row>4</xdr:row>
      <xdr:rowOff>200025</xdr:rowOff>
    </xdr:to>
    <xdr:sp macro="" textlink="">
      <xdr:nvSpPr>
        <xdr:cNvPr id="140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4</xdr:row>
      <xdr:rowOff>0</xdr:rowOff>
    </xdr:from>
    <xdr:to>
      <xdr:col>0</xdr:col>
      <xdr:colOff>762000</xdr:colOff>
      <xdr:row>4</xdr:row>
      <xdr:rowOff>200025</xdr:rowOff>
    </xdr:to>
    <xdr:sp macro="" textlink="">
      <xdr:nvSpPr>
        <xdr:cNvPr id="141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4</xdr:row>
      <xdr:rowOff>0</xdr:rowOff>
    </xdr:from>
    <xdr:to>
      <xdr:col>0</xdr:col>
      <xdr:colOff>762000</xdr:colOff>
      <xdr:row>4</xdr:row>
      <xdr:rowOff>200025</xdr:rowOff>
    </xdr:to>
    <xdr:sp macro="" textlink="">
      <xdr:nvSpPr>
        <xdr:cNvPr id="142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4</xdr:row>
      <xdr:rowOff>0</xdr:rowOff>
    </xdr:from>
    <xdr:to>
      <xdr:col>0</xdr:col>
      <xdr:colOff>762000</xdr:colOff>
      <xdr:row>4</xdr:row>
      <xdr:rowOff>200025</xdr:rowOff>
    </xdr:to>
    <xdr:sp macro="" textlink="">
      <xdr:nvSpPr>
        <xdr:cNvPr id="143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4</xdr:row>
      <xdr:rowOff>0</xdr:rowOff>
    </xdr:from>
    <xdr:to>
      <xdr:col>0</xdr:col>
      <xdr:colOff>762000</xdr:colOff>
      <xdr:row>4</xdr:row>
      <xdr:rowOff>200025</xdr:rowOff>
    </xdr:to>
    <xdr:sp macro="" textlink="">
      <xdr:nvSpPr>
        <xdr:cNvPr id="144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4</xdr:row>
      <xdr:rowOff>0</xdr:rowOff>
    </xdr:from>
    <xdr:to>
      <xdr:col>0</xdr:col>
      <xdr:colOff>762000</xdr:colOff>
      <xdr:row>4</xdr:row>
      <xdr:rowOff>200025</xdr:rowOff>
    </xdr:to>
    <xdr:sp macro="" textlink="">
      <xdr:nvSpPr>
        <xdr:cNvPr id="145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4</xdr:row>
      <xdr:rowOff>0</xdr:rowOff>
    </xdr:from>
    <xdr:to>
      <xdr:col>0</xdr:col>
      <xdr:colOff>762000</xdr:colOff>
      <xdr:row>4</xdr:row>
      <xdr:rowOff>200025</xdr:rowOff>
    </xdr:to>
    <xdr:sp macro="" textlink="">
      <xdr:nvSpPr>
        <xdr:cNvPr id="146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4</xdr:row>
      <xdr:rowOff>0</xdr:rowOff>
    </xdr:from>
    <xdr:to>
      <xdr:col>0</xdr:col>
      <xdr:colOff>762000</xdr:colOff>
      <xdr:row>4</xdr:row>
      <xdr:rowOff>200025</xdr:rowOff>
    </xdr:to>
    <xdr:sp macro="" textlink="">
      <xdr:nvSpPr>
        <xdr:cNvPr id="147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4</xdr:row>
      <xdr:rowOff>0</xdr:rowOff>
    </xdr:from>
    <xdr:to>
      <xdr:col>0</xdr:col>
      <xdr:colOff>762000</xdr:colOff>
      <xdr:row>4</xdr:row>
      <xdr:rowOff>200025</xdr:rowOff>
    </xdr:to>
    <xdr:sp macro="" textlink="">
      <xdr:nvSpPr>
        <xdr:cNvPr id="148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4</xdr:row>
      <xdr:rowOff>0</xdr:rowOff>
    </xdr:from>
    <xdr:to>
      <xdr:col>0</xdr:col>
      <xdr:colOff>762000</xdr:colOff>
      <xdr:row>4</xdr:row>
      <xdr:rowOff>200025</xdr:rowOff>
    </xdr:to>
    <xdr:sp macro="" textlink="">
      <xdr:nvSpPr>
        <xdr:cNvPr id="149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4</xdr:row>
      <xdr:rowOff>0</xdr:rowOff>
    </xdr:from>
    <xdr:to>
      <xdr:col>0</xdr:col>
      <xdr:colOff>762000</xdr:colOff>
      <xdr:row>4</xdr:row>
      <xdr:rowOff>200025</xdr:rowOff>
    </xdr:to>
    <xdr:sp macro="" textlink="">
      <xdr:nvSpPr>
        <xdr:cNvPr id="150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4</xdr:row>
      <xdr:rowOff>0</xdr:rowOff>
    </xdr:from>
    <xdr:to>
      <xdr:col>0</xdr:col>
      <xdr:colOff>762000</xdr:colOff>
      <xdr:row>4</xdr:row>
      <xdr:rowOff>200025</xdr:rowOff>
    </xdr:to>
    <xdr:sp macro="" textlink="">
      <xdr:nvSpPr>
        <xdr:cNvPr id="151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4</xdr:row>
      <xdr:rowOff>0</xdr:rowOff>
    </xdr:from>
    <xdr:to>
      <xdr:col>0</xdr:col>
      <xdr:colOff>762000</xdr:colOff>
      <xdr:row>4</xdr:row>
      <xdr:rowOff>200025</xdr:rowOff>
    </xdr:to>
    <xdr:sp macro="" textlink="">
      <xdr:nvSpPr>
        <xdr:cNvPr id="152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4</xdr:row>
      <xdr:rowOff>0</xdr:rowOff>
    </xdr:from>
    <xdr:to>
      <xdr:col>0</xdr:col>
      <xdr:colOff>762000</xdr:colOff>
      <xdr:row>4</xdr:row>
      <xdr:rowOff>200025</xdr:rowOff>
    </xdr:to>
    <xdr:sp macro="" textlink="">
      <xdr:nvSpPr>
        <xdr:cNvPr id="153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4</xdr:row>
      <xdr:rowOff>0</xdr:rowOff>
    </xdr:from>
    <xdr:to>
      <xdr:col>0</xdr:col>
      <xdr:colOff>762000</xdr:colOff>
      <xdr:row>4</xdr:row>
      <xdr:rowOff>200025</xdr:rowOff>
    </xdr:to>
    <xdr:sp macro="" textlink="">
      <xdr:nvSpPr>
        <xdr:cNvPr id="154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4</xdr:row>
      <xdr:rowOff>0</xdr:rowOff>
    </xdr:from>
    <xdr:to>
      <xdr:col>0</xdr:col>
      <xdr:colOff>762000</xdr:colOff>
      <xdr:row>4</xdr:row>
      <xdr:rowOff>200025</xdr:rowOff>
    </xdr:to>
    <xdr:sp macro="" textlink="">
      <xdr:nvSpPr>
        <xdr:cNvPr id="155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4</xdr:row>
      <xdr:rowOff>0</xdr:rowOff>
    </xdr:from>
    <xdr:to>
      <xdr:col>0</xdr:col>
      <xdr:colOff>762000</xdr:colOff>
      <xdr:row>4</xdr:row>
      <xdr:rowOff>200025</xdr:rowOff>
    </xdr:to>
    <xdr:sp macro="" textlink="">
      <xdr:nvSpPr>
        <xdr:cNvPr id="156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4</xdr:row>
      <xdr:rowOff>0</xdr:rowOff>
    </xdr:from>
    <xdr:to>
      <xdr:col>0</xdr:col>
      <xdr:colOff>762000</xdr:colOff>
      <xdr:row>4</xdr:row>
      <xdr:rowOff>200025</xdr:rowOff>
    </xdr:to>
    <xdr:sp macro="" textlink="">
      <xdr:nvSpPr>
        <xdr:cNvPr id="157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abrousse%20solene\AppData\Local\Microsoft\Windows\Temporary%20Internet%20Files\Content.Outlook\MQ8F9CWG\ISS_E15_PB_BAN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ublic\CLIENTS\SYCTOM\Campagne%20A11\Feuilles%20de%20tri\Synth&#232;se%20r&#233;sultats%20prestation%20B%20et%20C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abrousse%20solene\AppData\Local\Microsoft\Windows\Temporary%20Internet%20Files\Content.Outlook\MQ8F9CWG\ISS_E15_PC_BAN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abrousse%20solene\AppData\Local\Microsoft\Windows\Temporary%20Internet%20Files\Content.Outlook\MQ8F9CWG\ISS_E15_PC_PAR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abrousse%20solene\AppData\Local\Microsoft\Windows\Temporary%20Internet%20Files\Content.Outlook\MQ8F9CWG\IVR_H15_PC_BAN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abrousse%20solene\AppData\Local\Microsoft\Windows\Temporary%20Internet%20Files\Content.Outlook\MQ8F9CWG\IVR_H15_PC_PAR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abrousse%20solene\AppData\Local\Microsoft\Windows\Temporary%20Internet%20Files\Content.Outlook\MQ8F9CWG\ROM_E15_PC_BAN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abrousse%20solene\AppData\Local\Microsoft\Windows\Temporary%20Internet%20Files\Content.Outlook\MQ8F9CWG\ROM_P15_PC_PAR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abrousse%20solene\AppData\Local\Microsoft\Windows\Temporary%20Internet%20Files\Content.Outlook\MQ8F9CWG\STO_E15_PC_BAN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abrousse%20solene\AppData\Local\Microsoft\Windows\Temporary%20Internet%20Files\Content.Outlook\MQ8F9CWG\STO_E15_PC_PAR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abrousse%20solene\AppData\Local\Microsoft\Windows\Temporary%20Internet%20Files\Content.Outlook\MQ8F9CWG\ISS_A14_PB_BA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abrousse%20solene\AppData\Local\Microsoft\Windows\Temporary%20Internet%20Files\Content.Outlook\MQ8F9CWG\ISS_E15_PB_PAR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abrousse%20solene\AppData\Local\Microsoft\Windows\Temporary%20Internet%20Files\Content.Outlook\MQ8F9CWG\IVR_E15_PB_BAN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abrousse%20solene\AppData\Local\Microsoft\Windows\Temporary%20Internet%20Files\Content.Outlook\MQ8F9CWG\IVR_E15_PB_PAR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abrousse%20solene\AppData\Local\Microsoft\Windows\Temporary%20Internet%20Files\Content.Outlook\MQ8F9CWG\ROM_P15_PB_BAN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abrousse%20solene\AppData\Local\Microsoft\Windows\Temporary%20Internet%20Files\Content.Outlook\MQ8F9CWG\ROM%20E15%20PB%20PAR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abrousse%20solene\AppData\Local\Microsoft\Windows\Temporary%20Internet%20Files\Content.Outlook\MQ8F9CWG\STO_E15_PB_BAN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abrousse%20solene\AppData\Local\Microsoft\Windows\Temporary%20Internet%20Files\Content.Outlook\MQ8F9CWG\STO_E15_PB_PAR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ublic\CLIENTS\SYCTOM\campagne%20hiver%202012\feuille%20de%20%20tri\synth&#232;se%20H12%20PB%20-%20P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 1 _ Echant et Séchage"/>
      <sheetName val="F2_hétéroclites primaires"/>
      <sheetName val="F 3 _ Criblage et Tri"/>
      <sheetName val="F 4 TRI _ Granulo"/>
      <sheetName val="F5_synthèse "/>
      <sheetName val="Calcul sous cat &gt;20"/>
    </sheetNames>
    <sheetDataSet>
      <sheetData sheetId="0">
        <row r="5">
          <cell r="D5" t="str">
            <v>ISS-E15-PB-BAN</v>
          </cell>
        </row>
        <row r="6">
          <cell r="D6" t="str">
            <v>DN 162 KP - CA MONT VALERIEN - SURESNES</v>
          </cell>
        </row>
        <row r="8">
          <cell r="D8" t="str">
            <v>ISSEANE</v>
          </cell>
        </row>
        <row r="12">
          <cell r="B12">
            <v>42194</v>
          </cell>
          <cell r="E12" t="str">
            <v>19H15</v>
          </cell>
        </row>
        <row r="15">
          <cell r="E15" t="str">
            <v>sec, ensoleillé</v>
          </cell>
        </row>
        <row r="19">
          <cell r="G19">
            <v>126.60000000000001</v>
          </cell>
        </row>
        <row r="26">
          <cell r="H26">
            <v>0.45</v>
          </cell>
        </row>
        <row r="51">
          <cell r="D51">
            <v>0.33700631911532386</v>
          </cell>
        </row>
      </sheetData>
      <sheetData sheetId="1" refreshError="1"/>
      <sheetData sheetId="2">
        <row r="27">
          <cell r="C27">
            <v>2.5200000000000005</v>
          </cell>
          <cell r="D27">
            <v>2.74</v>
          </cell>
        </row>
      </sheetData>
      <sheetData sheetId="3">
        <row r="5">
          <cell r="E5">
            <v>4.3</v>
          </cell>
          <cell r="H5">
            <v>3.61</v>
          </cell>
          <cell r="K5">
            <v>12.730308880308883</v>
          </cell>
        </row>
        <row r="6">
          <cell r="E6">
            <v>0</v>
          </cell>
          <cell r="H6">
            <v>0</v>
          </cell>
          <cell r="K6">
            <v>1.414478764478766</v>
          </cell>
        </row>
        <row r="7">
          <cell r="E7">
            <v>0</v>
          </cell>
          <cell r="H7">
            <v>0</v>
          </cell>
          <cell r="K7">
            <v>0</v>
          </cell>
        </row>
        <row r="8">
          <cell r="E8">
            <v>0</v>
          </cell>
          <cell r="H8">
            <v>0.10000000000000009</v>
          </cell>
          <cell r="K8">
            <v>0</v>
          </cell>
        </row>
        <row r="9">
          <cell r="E9">
            <v>0</v>
          </cell>
          <cell r="H9">
            <v>0</v>
          </cell>
          <cell r="K9">
            <v>0.41602316602316641</v>
          </cell>
        </row>
        <row r="10">
          <cell r="E10">
            <v>0</v>
          </cell>
          <cell r="H10">
            <v>0.1100000000000001</v>
          </cell>
          <cell r="K10">
            <v>0.58243243243243292</v>
          </cell>
        </row>
        <row r="11">
          <cell r="E11">
            <v>0</v>
          </cell>
          <cell r="H11">
            <v>6.15</v>
          </cell>
          <cell r="K11">
            <v>1.2480694980694993</v>
          </cell>
        </row>
        <row r="12">
          <cell r="E12">
            <v>0</v>
          </cell>
          <cell r="H12">
            <v>1.0000000000000009E-2</v>
          </cell>
          <cell r="K12">
            <v>0.24961389961389988</v>
          </cell>
        </row>
        <row r="13">
          <cell r="E13">
            <v>0</v>
          </cell>
          <cell r="H13">
            <v>3.97</v>
          </cell>
          <cell r="K13">
            <v>1.7472972972972991</v>
          </cell>
        </row>
        <row r="14">
          <cell r="E14">
            <v>0</v>
          </cell>
          <cell r="H14">
            <v>0.22999999999999998</v>
          </cell>
          <cell r="K14">
            <v>2.9121621621621632</v>
          </cell>
        </row>
        <row r="15">
          <cell r="E15">
            <v>0</v>
          </cell>
          <cell r="H15">
            <v>0.85000000000000009</v>
          </cell>
          <cell r="K15">
            <v>1.5808880308880324</v>
          </cell>
        </row>
        <row r="16">
          <cell r="E16">
            <v>3.0600000000000005</v>
          </cell>
          <cell r="H16">
            <v>1.1099999999999999</v>
          </cell>
          <cell r="K16">
            <v>1.414478764478766</v>
          </cell>
        </row>
        <row r="17">
          <cell r="E17">
            <v>0.88</v>
          </cell>
          <cell r="H17">
            <v>9.000000000000008E-2</v>
          </cell>
          <cell r="K17">
            <v>1.0816602316602326</v>
          </cell>
        </row>
        <row r="18">
          <cell r="E18">
            <v>0</v>
          </cell>
          <cell r="H18">
            <v>0</v>
          </cell>
          <cell r="K18">
            <v>0</v>
          </cell>
        </row>
        <row r="19">
          <cell r="E19">
            <v>0</v>
          </cell>
          <cell r="H19">
            <v>0</v>
          </cell>
          <cell r="K19">
            <v>0.41602316602316641</v>
          </cell>
        </row>
        <row r="20">
          <cell r="E20">
            <v>0</v>
          </cell>
          <cell r="H20">
            <v>0</v>
          </cell>
          <cell r="K20">
            <v>0</v>
          </cell>
        </row>
        <row r="21">
          <cell r="E21">
            <v>0</v>
          </cell>
          <cell r="H21">
            <v>0</v>
          </cell>
          <cell r="K21">
            <v>0</v>
          </cell>
        </row>
        <row r="22">
          <cell r="E22">
            <v>0</v>
          </cell>
          <cell r="H22">
            <v>0.39000000000000012</v>
          </cell>
          <cell r="K22">
            <v>0</v>
          </cell>
        </row>
        <row r="23">
          <cell r="E23">
            <v>0</v>
          </cell>
          <cell r="H23">
            <v>0.5900000000000003</v>
          </cell>
          <cell r="K23">
            <v>0</v>
          </cell>
        </row>
        <row r="24">
          <cell r="E24">
            <v>0</v>
          </cell>
          <cell r="H24">
            <v>0.29000000000000004</v>
          </cell>
          <cell r="K24">
            <v>1.7472972972972991</v>
          </cell>
        </row>
        <row r="25">
          <cell r="E25">
            <v>1.36</v>
          </cell>
          <cell r="H25">
            <v>4.17</v>
          </cell>
          <cell r="K25">
            <v>1.414478764478766</v>
          </cell>
        </row>
        <row r="26">
          <cell r="E26">
            <v>0</v>
          </cell>
          <cell r="H26">
            <v>0.27</v>
          </cell>
          <cell r="K26">
            <v>0.91525096525096605</v>
          </cell>
        </row>
        <row r="27">
          <cell r="E27">
            <v>0</v>
          </cell>
          <cell r="H27">
            <v>9.000000000000008E-2</v>
          </cell>
          <cell r="K27">
            <v>0</v>
          </cell>
        </row>
        <row r="28">
          <cell r="E28">
            <v>0</v>
          </cell>
          <cell r="H28">
            <v>0.60999999999999988</v>
          </cell>
          <cell r="K28">
            <v>1.5808880308880324</v>
          </cell>
        </row>
        <row r="29">
          <cell r="E29">
            <v>0</v>
          </cell>
          <cell r="H29">
            <v>0.5900000000000003</v>
          </cell>
          <cell r="K29">
            <v>0.91525096525096605</v>
          </cell>
        </row>
        <row r="30">
          <cell r="E30">
            <v>0</v>
          </cell>
          <cell r="H30">
            <v>0.41000000000000014</v>
          </cell>
          <cell r="K30">
            <v>3.411389961389963</v>
          </cell>
        </row>
        <row r="31">
          <cell r="E31">
            <v>0</v>
          </cell>
          <cell r="H31">
            <v>1.35</v>
          </cell>
          <cell r="K31">
            <v>1.2480694980694993</v>
          </cell>
        </row>
        <row r="32">
          <cell r="E32">
            <v>0</v>
          </cell>
          <cell r="H32">
            <v>1.0000000000000009E-2</v>
          </cell>
          <cell r="K32">
            <v>2.4129343629343634</v>
          </cell>
        </row>
        <row r="33">
          <cell r="E33">
            <v>0</v>
          </cell>
          <cell r="H33">
            <v>9.000000000000008E-2</v>
          </cell>
          <cell r="K33">
            <v>1.0816602316602326</v>
          </cell>
        </row>
        <row r="34">
          <cell r="E34">
            <v>0</v>
          </cell>
          <cell r="H34">
            <v>0.1100000000000001</v>
          </cell>
          <cell r="K34">
            <v>0</v>
          </cell>
        </row>
        <row r="35">
          <cell r="E35">
            <v>0</v>
          </cell>
          <cell r="H35">
            <v>0</v>
          </cell>
          <cell r="K35">
            <v>0</v>
          </cell>
        </row>
        <row r="36">
          <cell r="E36">
            <v>0</v>
          </cell>
          <cell r="H36">
            <v>0</v>
          </cell>
          <cell r="K36">
            <v>0</v>
          </cell>
        </row>
        <row r="37">
          <cell r="E37">
            <v>0</v>
          </cell>
          <cell r="H37">
            <v>0</v>
          </cell>
          <cell r="K37">
            <v>0</v>
          </cell>
        </row>
        <row r="38">
          <cell r="E38">
            <v>0</v>
          </cell>
          <cell r="H38">
            <v>0</v>
          </cell>
          <cell r="K38">
            <v>0</v>
          </cell>
        </row>
        <row r="39">
          <cell r="E39">
            <v>0</v>
          </cell>
          <cell r="H39">
            <v>0</v>
          </cell>
          <cell r="K39">
            <v>0.24961389961389988</v>
          </cell>
        </row>
        <row r="40">
          <cell r="E40">
            <v>0</v>
          </cell>
          <cell r="H40">
            <v>0.39999999999999991</v>
          </cell>
          <cell r="K40">
            <v>0</v>
          </cell>
        </row>
        <row r="41">
          <cell r="E41">
            <v>0</v>
          </cell>
          <cell r="H41">
            <v>0</v>
          </cell>
          <cell r="K41">
            <v>0</v>
          </cell>
        </row>
        <row r="42">
          <cell r="E42">
            <v>0</v>
          </cell>
          <cell r="H42">
            <v>0</v>
          </cell>
          <cell r="K42">
            <v>0</v>
          </cell>
        </row>
        <row r="43">
          <cell r="E43">
            <v>0</v>
          </cell>
          <cell r="H43">
            <v>0</v>
          </cell>
          <cell r="K43">
            <v>0</v>
          </cell>
        </row>
        <row r="44">
          <cell r="E44">
            <v>0</v>
          </cell>
          <cell r="H44">
            <v>0</v>
          </cell>
          <cell r="K44">
            <v>0</v>
          </cell>
        </row>
        <row r="45">
          <cell r="E45">
            <v>0</v>
          </cell>
          <cell r="H45">
            <v>0</v>
          </cell>
          <cell r="K45">
            <v>0</v>
          </cell>
        </row>
        <row r="46">
          <cell r="E46">
            <v>0</v>
          </cell>
          <cell r="H46">
            <v>0</v>
          </cell>
          <cell r="K46">
            <v>0</v>
          </cell>
        </row>
        <row r="47">
          <cell r="E47">
            <v>0</v>
          </cell>
          <cell r="H47">
            <v>0</v>
          </cell>
          <cell r="K47">
            <v>0</v>
          </cell>
        </row>
        <row r="48">
          <cell r="E48">
            <v>0</v>
          </cell>
          <cell r="H48">
            <v>0</v>
          </cell>
          <cell r="K48">
            <v>0</v>
          </cell>
        </row>
        <row r="49">
          <cell r="E49">
            <v>0</v>
          </cell>
          <cell r="H49">
            <v>0</v>
          </cell>
          <cell r="K49">
            <v>0</v>
          </cell>
        </row>
        <row r="50">
          <cell r="E50">
            <v>0</v>
          </cell>
          <cell r="H50">
            <v>0.30000000000000027</v>
          </cell>
          <cell r="K50">
            <v>3.3281853281853313</v>
          </cell>
        </row>
      </sheetData>
      <sheetData sheetId="4" refreshError="1"/>
      <sheetData sheetId="5">
        <row r="8">
          <cell r="N8">
            <v>47.361186175412655</v>
          </cell>
        </row>
        <row r="9">
          <cell r="N9">
            <v>14.798466266910042</v>
          </cell>
        </row>
        <row r="10">
          <cell r="N10">
            <v>8.6575681444868806</v>
          </cell>
        </row>
        <row r="11">
          <cell r="N11">
            <v>0.450365814344525</v>
          </cell>
        </row>
        <row r="12">
          <cell r="N12">
            <v>0.33514434135864724</v>
          </cell>
        </row>
        <row r="13">
          <cell r="N13">
            <v>2.3199147509557472</v>
          </cell>
        </row>
        <row r="14">
          <cell r="N14">
            <v>11.55262401346797</v>
          </cell>
        </row>
        <row r="15">
          <cell r="N15">
            <v>3.353493422393274</v>
          </cell>
        </row>
        <row r="16">
          <cell r="N16">
            <v>4.3103342349364935</v>
          </cell>
        </row>
        <row r="17">
          <cell r="N17">
            <v>1.1359813678514983</v>
          </cell>
        </row>
        <row r="18">
          <cell r="N18">
            <v>0.24465936192586304</v>
          </cell>
        </row>
        <row r="19">
          <cell r="N19">
            <v>0.35062744131040985</v>
          </cell>
        </row>
        <row r="20">
          <cell r="N20">
            <v>5.12963466464599</v>
          </cell>
        </row>
        <row r="32">
          <cell r="N32">
            <v>0.61126168858626329</v>
          </cell>
        </row>
        <row r="33">
          <cell r="N33">
            <v>6.2964752300943188</v>
          </cell>
        </row>
        <row r="34">
          <cell r="N34">
            <v>0.22095662777075437</v>
          </cell>
        </row>
        <row r="35">
          <cell r="N35">
            <v>4.9123045429153214</v>
          </cell>
        </row>
        <row r="36">
          <cell r="N36">
            <v>2.7574681775433865</v>
          </cell>
        </row>
        <row r="37">
          <cell r="N37">
            <v>2.0795275312099037</v>
          </cell>
        </row>
        <row r="38">
          <cell r="N38">
            <v>4.7853058053255237</v>
          </cell>
        </row>
        <row r="39">
          <cell r="N39">
            <v>1.7927348079514527</v>
          </cell>
        </row>
        <row r="43">
          <cell r="N43">
            <v>0.33514434135864724</v>
          </cell>
        </row>
        <row r="44">
          <cell r="N44">
            <v>0.53207153612056446</v>
          </cell>
        </row>
        <row r="45">
          <cell r="N45">
            <v>1.7878432148351828</v>
          </cell>
        </row>
        <row r="46">
          <cell r="N46">
            <v>6.8129807717963775</v>
          </cell>
        </row>
        <row r="47">
          <cell r="N47">
            <v>1.0382153172507149</v>
          </cell>
        </row>
        <row r="48">
          <cell r="N48">
            <v>7.880861529315987E-2</v>
          </cell>
        </row>
        <row r="49">
          <cell r="N49">
            <v>2.1471204798883758</v>
          </cell>
        </row>
        <row r="50">
          <cell r="N50">
            <v>1.4754988292393425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SS A11 PB BAN"/>
      <sheetName val="ISS A11 PB PAR"/>
      <sheetName val="IVR A11 PB BAN"/>
      <sheetName val="IVR A11 PB PAR"/>
      <sheetName val="ROM A11 PB BAN"/>
      <sheetName val="ROM A11 PB PAR"/>
      <sheetName val="STO A11 PB BAN"/>
      <sheetName val="STO A11 PB PAR"/>
      <sheetName val="Synthèse A11 PB"/>
      <sheetName val="ISS A11 PC BAN"/>
      <sheetName val="ISS A11 PC PAR"/>
      <sheetName val="IVR A11 PC BAN"/>
      <sheetName val="IVR A1 PC PAR"/>
      <sheetName val="ROM A11 PC BAN"/>
      <sheetName val="ROM A11 PC PAR"/>
      <sheetName val="STO A11 PC BAN"/>
      <sheetName val="STO A11 PC PAR"/>
      <sheetName val="Synthèse A11 PC"/>
      <sheetName val="Analyses par catégories"/>
      <sheetName val="SYCTOM déchets organiques"/>
      <sheetName val="Déchets ini. recons."/>
      <sheetName val="Syctom CSR"/>
      <sheetName val="Fraction 8mm-20mm"/>
      <sheetName val="Granulo P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164">
          <cell r="B164" t="str">
            <v>OMR</v>
          </cell>
        </row>
        <row r="166">
          <cell r="B166" t="str">
            <v>Collecte sélective</v>
          </cell>
        </row>
        <row r="167">
          <cell r="B167" t="str">
            <v>Verre</v>
          </cell>
        </row>
        <row r="168">
          <cell r="B168" t="str">
            <v>Textiles</v>
          </cell>
        </row>
        <row r="169">
          <cell r="B169" t="str">
            <v>Déchets ménagers spéciaux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 1 _ Echant et Séchage"/>
      <sheetName val="F2_hétéroclites primaires"/>
      <sheetName val="F 3 _ Criblage et Tri"/>
      <sheetName val="F 4 TRI _ Granulo"/>
      <sheetName val="F5_synthèse "/>
    </sheetNames>
    <sheetDataSet>
      <sheetData sheetId="0">
        <row r="5">
          <cell r="D5" t="str">
            <v>ISS-E15-PC-BAN</v>
          </cell>
        </row>
        <row r="6">
          <cell r="D6" t="str">
            <v>DN 162 KP - CA MONT VALERIEN - SURESNES</v>
          </cell>
        </row>
        <row r="8">
          <cell r="D8" t="str">
            <v>ISSEANE</v>
          </cell>
        </row>
        <row r="12">
          <cell r="B12">
            <v>42194</v>
          </cell>
          <cell r="E12" t="str">
            <v>19H15</v>
          </cell>
        </row>
        <row r="15">
          <cell r="E15" t="str">
            <v>sec, ensoleillé</v>
          </cell>
        </row>
        <row r="19">
          <cell r="G19">
            <v>128.19999999999999</v>
          </cell>
        </row>
        <row r="26">
          <cell r="H26">
            <v>0.5</v>
          </cell>
        </row>
        <row r="51">
          <cell r="D51">
            <v>0.37085803432137276</v>
          </cell>
        </row>
      </sheetData>
      <sheetData sheetId="1"/>
      <sheetData sheetId="2">
        <row r="27">
          <cell r="C27">
            <v>3.46</v>
          </cell>
          <cell r="D27">
            <v>3.5200000000000005</v>
          </cell>
        </row>
      </sheetData>
      <sheetData sheetId="3">
        <row r="5">
          <cell r="E5">
            <v>0</v>
          </cell>
          <cell r="H5">
            <v>28.500000000000007</v>
          </cell>
          <cell r="K5">
            <v>37.5423569023569</v>
          </cell>
        </row>
        <row r="6">
          <cell r="E6">
            <v>0</v>
          </cell>
          <cell r="H6">
            <v>1.6000000000000005</v>
          </cell>
          <cell r="K6">
            <v>0.93521885521885595</v>
          </cell>
        </row>
        <row r="7">
          <cell r="E7">
            <v>0</v>
          </cell>
          <cell r="H7">
            <v>0.16000000000000014</v>
          </cell>
          <cell r="K7">
            <v>1.2024242424242435</v>
          </cell>
        </row>
      </sheetData>
      <sheetData sheetId="4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 1 _ Echant et Séchage"/>
      <sheetName val="F2_hétéroclites primaires"/>
      <sheetName val="F 3 _ Criblage et Tri"/>
      <sheetName val="F 4 TRI _ Granulo"/>
      <sheetName val="F5_synthèse "/>
    </sheetNames>
    <sheetDataSet>
      <sheetData sheetId="0">
        <row r="5">
          <cell r="D5" t="str">
            <v>ISS-E15-PC-PAR</v>
          </cell>
        </row>
        <row r="6">
          <cell r="D6" t="str">
            <v>AX 233 XP - PARIS 7E</v>
          </cell>
        </row>
        <row r="8">
          <cell r="D8" t="str">
            <v>ISSEANE</v>
          </cell>
        </row>
        <row r="12">
          <cell r="B12">
            <v>42194</v>
          </cell>
          <cell r="E12" t="str">
            <v>18H30</v>
          </cell>
        </row>
        <row r="15">
          <cell r="E15" t="str">
            <v>sec, ensoleillé</v>
          </cell>
        </row>
        <row r="19">
          <cell r="G19">
            <v>126.4</v>
          </cell>
        </row>
        <row r="26">
          <cell r="H26">
            <v>0.45</v>
          </cell>
        </row>
        <row r="51">
          <cell r="D51">
            <v>0.39145569620253168</v>
          </cell>
        </row>
      </sheetData>
      <sheetData sheetId="1"/>
      <sheetData sheetId="2">
        <row r="27">
          <cell r="C27">
            <v>3.6000000000000005</v>
          </cell>
          <cell r="D27">
            <v>2.7199999999999998</v>
          </cell>
        </row>
      </sheetData>
      <sheetData sheetId="3">
        <row r="5">
          <cell r="E5">
            <v>3</v>
          </cell>
          <cell r="H5">
            <v>23.480000000000004</v>
          </cell>
          <cell r="K5">
            <v>26.018937499999996</v>
          </cell>
        </row>
        <row r="6">
          <cell r="E6">
            <v>0</v>
          </cell>
          <cell r="H6">
            <v>5.56</v>
          </cell>
          <cell r="K6">
            <v>9.865000000000002</v>
          </cell>
        </row>
        <row r="7">
          <cell r="E7">
            <v>0</v>
          </cell>
          <cell r="H7">
            <v>0.2200000000000002</v>
          </cell>
          <cell r="K7">
            <v>3.3294375</v>
          </cell>
        </row>
      </sheetData>
      <sheetData sheetId="4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 1 _ Echant et Séchage"/>
      <sheetName val="F2_hétéroclites primaires"/>
      <sheetName val="F 3 _ Criblage et Tri"/>
      <sheetName val="F 4 TRI _ Granulo"/>
      <sheetName val="F5_synthèse "/>
    </sheetNames>
    <sheetDataSet>
      <sheetData sheetId="0">
        <row r="5">
          <cell r="D5" t="str">
            <v>IVR-E15-PC-BAN</v>
          </cell>
        </row>
        <row r="6">
          <cell r="D6" t="str">
            <v>DJ 740 PY - IVRY-SUR-SEINE</v>
          </cell>
        </row>
        <row r="8">
          <cell r="D8" t="str">
            <v>IVRY</v>
          </cell>
        </row>
        <row r="12">
          <cell r="B12">
            <v>42193</v>
          </cell>
          <cell r="E12" t="str">
            <v>19H10</v>
          </cell>
        </row>
        <row r="15">
          <cell r="E15" t="str">
            <v>sec, nuageux</v>
          </cell>
        </row>
        <row r="19">
          <cell r="G19">
            <v>127.36000000000001</v>
          </cell>
        </row>
        <row r="26">
          <cell r="H26">
            <v>0.4</v>
          </cell>
        </row>
        <row r="51">
          <cell r="D51">
            <v>0.36888347989949738</v>
          </cell>
        </row>
      </sheetData>
      <sheetData sheetId="1"/>
      <sheetData sheetId="2">
        <row r="27">
          <cell r="C27">
            <v>4.46</v>
          </cell>
          <cell r="D27">
            <v>6.54</v>
          </cell>
        </row>
      </sheetData>
      <sheetData sheetId="3">
        <row r="5">
          <cell r="E5">
            <v>0.98</v>
          </cell>
          <cell r="H5">
            <v>27.840000000000003</v>
          </cell>
          <cell r="K5">
            <v>26.455513307984788</v>
          </cell>
        </row>
        <row r="6">
          <cell r="E6">
            <v>0</v>
          </cell>
          <cell r="H6">
            <v>2.8600000000000003</v>
          </cell>
          <cell r="K6">
            <v>9.4682889733840323</v>
          </cell>
        </row>
        <row r="7">
          <cell r="E7">
            <v>0</v>
          </cell>
          <cell r="H7">
            <v>0.20000000000000018</v>
          </cell>
          <cell r="K7">
            <v>0.41771863117870761</v>
          </cell>
        </row>
      </sheetData>
      <sheetData sheetId="4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 1 _ Echant et Séchage"/>
      <sheetName val="F2_hétéroclites primaires"/>
      <sheetName val="F 3 _ Criblage et Tri"/>
      <sheetName val="F 4 TRI _ Granulo"/>
      <sheetName val="F5_synthèse "/>
    </sheetNames>
    <sheetDataSet>
      <sheetData sheetId="0">
        <row r="5">
          <cell r="D5" t="str">
            <v>IVR-E15-PC-PAR</v>
          </cell>
        </row>
        <row r="6">
          <cell r="D6" t="str">
            <v>456 QPG 75 - PARIS 12E</v>
          </cell>
        </row>
        <row r="8">
          <cell r="D8" t="str">
            <v>IVRY</v>
          </cell>
        </row>
        <row r="12">
          <cell r="B12">
            <v>42193</v>
          </cell>
          <cell r="E12" t="str">
            <v>19H00</v>
          </cell>
        </row>
        <row r="15">
          <cell r="E15" t="str">
            <v>sec, nuageux</v>
          </cell>
        </row>
        <row r="19">
          <cell r="G19">
            <v>129.01999999999998</v>
          </cell>
        </row>
        <row r="26">
          <cell r="H26">
            <v>0.47500000000000003</v>
          </cell>
        </row>
        <row r="51">
          <cell r="D51">
            <v>0.47388001860176715</v>
          </cell>
        </row>
      </sheetData>
      <sheetData sheetId="1"/>
      <sheetData sheetId="2">
        <row r="27">
          <cell r="C27">
            <v>3.4000000000000004</v>
          </cell>
          <cell r="D27">
            <v>2.3600000000000003</v>
          </cell>
        </row>
      </sheetData>
      <sheetData sheetId="3">
        <row r="5">
          <cell r="E5">
            <v>0</v>
          </cell>
          <cell r="H5">
            <v>21.72</v>
          </cell>
          <cell r="K5">
            <v>26.550625000000004</v>
          </cell>
        </row>
        <row r="6">
          <cell r="E6">
            <v>0</v>
          </cell>
          <cell r="H6">
            <v>3.1400000000000006</v>
          </cell>
          <cell r="K6">
            <v>8.802109374999997</v>
          </cell>
        </row>
        <row r="7">
          <cell r="E7">
            <v>0</v>
          </cell>
          <cell r="H7">
            <v>6.0000000000000053E-2</v>
          </cell>
          <cell r="K7">
            <v>1.4429687500000012</v>
          </cell>
        </row>
      </sheetData>
      <sheetData sheetId="4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 1 _ Echant et Séchage"/>
      <sheetName val="F2_hétéroclites primaires"/>
      <sheetName val="F 3 _ Criblage et Tri"/>
      <sheetName val="F 4 TRI _ Granulo"/>
      <sheetName val="F5_synthèse "/>
    </sheetNames>
    <sheetDataSet>
      <sheetData sheetId="0">
        <row r="5">
          <cell r="D5" t="str">
            <v>ROM-E15-PC-BAN</v>
          </cell>
        </row>
        <row r="6">
          <cell r="D6" t="str">
            <v>CD 781 RH - BONDY - CAEE</v>
          </cell>
        </row>
        <row r="8">
          <cell r="D8" t="str">
            <v>ROMAINVILLE</v>
          </cell>
        </row>
        <row r="15">
          <cell r="E15" t="str">
            <v>sec, ensoleillé</v>
          </cell>
        </row>
        <row r="20">
          <cell r="G20" t="str">
            <v xml:space="preserve">Vol1 </v>
          </cell>
        </row>
        <row r="21">
          <cell r="H21">
            <v>0.2</v>
          </cell>
        </row>
        <row r="51">
          <cell r="D51">
            <v>0.4084550345887778</v>
          </cell>
        </row>
      </sheetData>
      <sheetData sheetId="1"/>
      <sheetData sheetId="2">
        <row r="27">
          <cell r="C27">
            <v>3.92</v>
          </cell>
          <cell r="D27">
            <v>2.66</v>
          </cell>
        </row>
      </sheetData>
      <sheetData sheetId="3">
        <row r="5">
          <cell r="E5">
            <v>4.04</v>
          </cell>
          <cell r="H5">
            <v>23.22</v>
          </cell>
          <cell r="K5">
            <v>31.658823529411762</v>
          </cell>
        </row>
        <row r="6">
          <cell r="E6">
            <v>0.3</v>
          </cell>
          <cell r="H6">
            <v>3.7</v>
          </cell>
          <cell r="K6">
            <v>6.4235294117647088</v>
          </cell>
        </row>
        <row r="7">
          <cell r="E7">
            <v>0</v>
          </cell>
          <cell r="H7">
            <v>0.26000000000000023</v>
          </cell>
          <cell r="K7">
            <v>1.9882352941176491</v>
          </cell>
        </row>
      </sheetData>
      <sheetData sheetId="4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 1 _ Echant et Séchage"/>
      <sheetName val="F2_hétéroclites primaires"/>
      <sheetName val="F 3 _ Criblage et Tri"/>
      <sheetName val="F 4 TRI _ Granulo"/>
      <sheetName val="F5_synthèse "/>
    </sheetNames>
    <sheetDataSet>
      <sheetData sheetId="0">
        <row r="5">
          <cell r="D5" t="str">
            <v>ROM-E15-PB-PAR</v>
          </cell>
        </row>
        <row r="6">
          <cell r="D6" t="str">
            <v>869 QCA 75 - Paris 20e</v>
          </cell>
        </row>
        <row r="8">
          <cell r="D8" t="str">
            <v>Romainville</v>
          </cell>
        </row>
        <row r="12">
          <cell r="B12">
            <v>42200</v>
          </cell>
          <cell r="E12" t="str">
            <v>7h50</v>
          </cell>
        </row>
        <row r="15">
          <cell r="E15" t="str">
            <v>sec, ensoleillé</v>
          </cell>
        </row>
        <row r="19">
          <cell r="G19">
            <v>124.60000000000001</v>
          </cell>
        </row>
        <row r="26">
          <cell r="H26">
            <v>0.5</v>
          </cell>
        </row>
        <row r="51">
          <cell r="D51">
            <v>0.38715890850722318</v>
          </cell>
        </row>
      </sheetData>
      <sheetData sheetId="1"/>
      <sheetData sheetId="2">
        <row r="27">
          <cell r="C27">
            <v>3.4000000000000004</v>
          </cell>
          <cell r="D27">
            <v>2.62</v>
          </cell>
        </row>
      </sheetData>
      <sheetData sheetId="3">
        <row r="5">
          <cell r="E5">
            <v>0.46</v>
          </cell>
          <cell r="H5">
            <v>25.86</v>
          </cell>
          <cell r="K5">
            <v>30.026765799256509</v>
          </cell>
        </row>
        <row r="6">
          <cell r="E6">
            <v>0</v>
          </cell>
          <cell r="H6">
            <v>5.6</v>
          </cell>
          <cell r="K6">
            <v>6.515241635687735</v>
          </cell>
        </row>
        <row r="7">
          <cell r="E7">
            <v>0</v>
          </cell>
          <cell r="H7">
            <v>0.20000000000000018</v>
          </cell>
          <cell r="K7">
            <v>1.6996282527881057</v>
          </cell>
        </row>
      </sheetData>
      <sheetData sheetId="4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 1 _ Echant et Séchage"/>
      <sheetName val="F2_hétéroclites primaires"/>
      <sheetName val="F 3 _ Criblage et Tri"/>
      <sheetName val="F 4 TRI _ Granulo"/>
      <sheetName val="F5_synthèse "/>
    </sheetNames>
    <sheetDataSet>
      <sheetData sheetId="0">
        <row r="5">
          <cell r="D5" t="str">
            <v>STO-E15-PB-BAN</v>
          </cell>
        </row>
        <row r="6">
          <cell r="D6" t="str">
            <v>CD 387 GW LEVALLOIS</v>
          </cell>
        </row>
        <row r="8">
          <cell r="D8" t="str">
            <v>SAINT OUEN</v>
          </cell>
        </row>
        <row r="12">
          <cell r="B12">
            <v>42201</v>
          </cell>
          <cell r="E12" t="str">
            <v>22H00</v>
          </cell>
        </row>
        <row r="15">
          <cell r="E15" t="str">
            <v>sec, ensoleillé</v>
          </cell>
        </row>
        <row r="19">
          <cell r="G19">
            <v>126.7</v>
          </cell>
        </row>
        <row r="26">
          <cell r="H26">
            <v>500</v>
          </cell>
        </row>
        <row r="51">
          <cell r="D51">
            <v>0.2812943962115233</v>
          </cell>
        </row>
      </sheetData>
      <sheetData sheetId="1"/>
      <sheetData sheetId="2">
        <row r="27">
          <cell r="C27">
            <v>5.64</v>
          </cell>
          <cell r="D27">
            <v>3.2800000000000002</v>
          </cell>
        </row>
      </sheetData>
      <sheetData sheetId="3">
        <row r="5">
          <cell r="E5">
            <v>4.82</v>
          </cell>
          <cell r="H5">
            <v>35.120000000000005</v>
          </cell>
          <cell r="K5">
            <v>29.745000000000005</v>
          </cell>
        </row>
        <row r="6">
          <cell r="E6">
            <v>0</v>
          </cell>
          <cell r="H6">
            <v>1.3200000000000003</v>
          </cell>
          <cell r="K6">
            <v>8.593</v>
          </cell>
        </row>
        <row r="7">
          <cell r="E7">
            <v>0</v>
          </cell>
          <cell r="H7">
            <v>0.18000000000000016</v>
          </cell>
          <cell r="K7">
            <v>0.82625000000000071</v>
          </cell>
        </row>
      </sheetData>
      <sheetData sheetId="4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 1 _ Echant et Séchage"/>
      <sheetName val="F2_hétéroclites primaires"/>
      <sheetName val="F 3 _ Criblage et Tri"/>
      <sheetName val="F 4 TRI _ Granulo"/>
      <sheetName val="F5_synthèse "/>
    </sheetNames>
    <sheetDataSet>
      <sheetData sheetId="0">
        <row r="5">
          <cell r="D5" t="str">
            <v>STO-E15-PC-PAR</v>
          </cell>
        </row>
        <row r="6">
          <cell r="D6" t="str">
            <v>DK 399 CY - 18E ARRDT</v>
          </cell>
        </row>
        <row r="8">
          <cell r="D8" t="str">
            <v>SAINT OUEN</v>
          </cell>
        </row>
        <row r="12">
          <cell r="B12">
            <v>42201</v>
          </cell>
          <cell r="E12" t="str">
            <v>19H10</v>
          </cell>
        </row>
        <row r="15">
          <cell r="E15" t="str">
            <v>sec, ensoleillé</v>
          </cell>
        </row>
        <row r="19">
          <cell r="G19">
            <v>129.4</v>
          </cell>
        </row>
        <row r="26">
          <cell r="H26">
            <v>425</v>
          </cell>
        </row>
        <row r="51">
          <cell r="D51">
            <v>0.41081916537867075</v>
          </cell>
        </row>
      </sheetData>
      <sheetData sheetId="1"/>
      <sheetData sheetId="2">
        <row r="27">
          <cell r="C27">
            <v>4.82</v>
          </cell>
          <cell r="D27">
            <v>4.78</v>
          </cell>
        </row>
      </sheetData>
      <sheetData sheetId="3">
        <row r="5">
          <cell r="E5">
            <v>6.1</v>
          </cell>
          <cell r="H5">
            <v>16.64</v>
          </cell>
          <cell r="K5">
            <v>24.773201320132024</v>
          </cell>
        </row>
        <row r="6">
          <cell r="E6">
            <v>0</v>
          </cell>
          <cell r="H6">
            <v>5.6999999999999993</v>
          </cell>
          <cell r="K6">
            <v>11.950891089108913</v>
          </cell>
        </row>
        <row r="7">
          <cell r="E7">
            <v>0</v>
          </cell>
          <cell r="H7">
            <v>0.14000000000000012</v>
          </cell>
          <cell r="K7">
            <v>0.99590759075907698</v>
          </cell>
        </row>
      </sheetData>
      <sheetData sheetId="4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 1 _ Echant et Séchage"/>
      <sheetName val="F2_hétéroclites primaires"/>
      <sheetName val="F 3 _ Criblage et Tri"/>
      <sheetName val="F 4 TRI _ Granulo"/>
      <sheetName val="F5_synthèse "/>
      <sheetName val="Calcul sous cat &gt;20"/>
    </sheetNames>
    <sheetDataSet>
      <sheetData sheetId="0">
        <row r="5">
          <cell r="D5" t="str">
            <v>ISS A14 PB BAN</v>
          </cell>
        </row>
      </sheetData>
      <sheetData sheetId="1"/>
      <sheetData sheetId="2">
        <row r="27">
          <cell r="C27">
            <v>9.08</v>
          </cell>
        </row>
      </sheetData>
      <sheetData sheetId="3">
        <row r="5">
          <cell r="E5">
            <v>0</v>
          </cell>
        </row>
      </sheetData>
      <sheetData sheetId="4"/>
      <sheetData sheetId="5">
        <row r="8">
          <cell r="N8">
            <v>53.787605391864929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 1 _ Echant et Séchage"/>
      <sheetName val="F2_hétéroclites primaires"/>
      <sheetName val="F 3 _ Criblage et Tri"/>
      <sheetName val="F 4 TRI _ Granulo"/>
      <sheetName val="F5_synthèse "/>
      <sheetName val="Calcul sous cat &gt;20"/>
    </sheetNames>
    <sheetDataSet>
      <sheetData sheetId="0">
        <row r="5">
          <cell r="D5" t="str">
            <v>ISS-E15-PB-PAR</v>
          </cell>
        </row>
        <row r="6">
          <cell r="D6" t="str">
            <v>AX 233 XP - PARIS 7E</v>
          </cell>
        </row>
        <row r="8">
          <cell r="D8" t="str">
            <v>ISSEANE</v>
          </cell>
        </row>
        <row r="12">
          <cell r="B12">
            <v>42194</v>
          </cell>
          <cell r="E12" t="str">
            <v>18H30</v>
          </cell>
        </row>
        <row r="15">
          <cell r="E15" t="str">
            <v>sec, ensoleillé</v>
          </cell>
        </row>
        <row r="19">
          <cell r="G19">
            <v>126.80000000000001</v>
          </cell>
        </row>
        <row r="26">
          <cell r="H26">
            <v>0.45</v>
          </cell>
        </row>
        <row r="51">
          <cell r="D51">
            <v>0.36735015772870672</v>
          </cell>
        </row>
      </sheetData>
      <sheetData sheetId="1" refreshError="1"/>
      <sheetData sheetId="2">
        <row r="27">
          <cell r="C27">
            <v>5.6000000000000005</v>
          </cell>
          <cell r="D27">
            <v>2.2199999999999998</v>
          </cell>
        </row>
      </sheetData>
      <sheetData sheetId="3">
        <row r="5">
          <cell r="E5">
            <v>0</v>
          </cell>
          <cell r="H5">
            <v>0.99000000000000021</v>
          </cell>
          <cell r="K5">
            <v>1.6216666666666668</v>
          </cell>
        </row>
        <row r="6">
          <cell r="E6">
            <v>0</v>
          </cell>
          <cell r="H6">
            <v>0.51000000000000023</v>
          </cell>
          <cell r="K6">
            <v>6.0326000000000013</v>
          </cell>
        </row>
        <row r="7">
          <cell r="E7">
            <v>0</v>
          </cell>
          <cell r="H7">
            <v>0</v>
          </cell>
          <cell r="K7">
            <v>0</v>
          </cell>
        </row>
        <row r="8">
          <cell r="E8">
            <v>0</v>
          </cell>
          <cell r="H8">
            <v>7.0000000000000062E-2</v>
          </cell>
          <cell r="K8">
            <v>0.19460000000000019</v>
          </cell>
        </row>
        <row r="9">
          <cell r="E9">
            <v>0</v>
          </cell>
          <cell r="H9">
            <v>1.0000000000000009E-2</v>
          </cell>
          <cell r="K9">
            <v>0.32433333333333364</v>
          </cell>
        </row>
        <row r="10">
          <cell r="E10">
            <v>0</v>
          </cell>
          <cell r="H10">
            <v>7.0000000000000062E-2</v>
          </cell>
          <cell r="K10">
            <v>6.4866666666666725E-2</v>
          </cell>
        </row>
        <row r="11">
          <cell r="E11">
            <v>0</v>
          </cell>
          <cell r="H11">
            <v>2.69</v>
          </cell>
          <cell r="K11">
            <v>0</v>
          </cell>
        </row>
        <row r="12">
          <cell r="E12">
            <v>0</v>
          </cell>
          <cell r="H12">
            <v>0.71</v>
          </cell>
          <cell r="K12">
            <v>0.32433333333333364</v>
          </cell>
        </row>
        <row r="13">
          <cell r="E13">
            <v>0</v>
          </cell>
          <cell r="H13">
            <v>0.71</v>
          </cell>
          <cell r="K13">
            <v>0.45406666666666706</v>
          </cell>
        </row>
        <row r="14">
          <cell r="E14">
            <v>0</v>
          </cell>
          <cell r="H14">
            <v>0.69</v>
          </cell>
          <cell r="K14">
            <v>1.3622000000000014</v>
          </cell>
        </row>
        <row r="15">
          <cell r="E15">
            <v>0</v>
          </cell>
          <cell r="H15">
            <v>0.5900000000000003</v>
          </cell>
          <cell r="K15">
            <v>1.8811333333333335</v>
          </cell>
        </row>
        <row r="16">
          <cell r="E16">
            <v>1.3</v>
          </cell>
          <cell r="H16">
            <v>0.75</v>
          </cell>
          <cell r="K16">
            <v>0.32433333333333364</v>
          </cell>
        </row>
        <row r="17">
          <cell r="E17">
            <v>0</v>
          </cell>
          <cell r="H17">
            <v>0.13000000000000012</v>
          </cell>
          <cell r="K17">
            <v>0.71353333333333391</v>
          </cell>
        </row>
        <row r="18">
          <cell r="E18">
            <v>0</v>
          </cell>
          <cell r="H18">
            <v>0.37000000000000011</v>
          </cell>
          <cell r="K18">
            <v>0</v>
          </cell>
        </row>
        <row r="19">
          <cell r="E19">
            <v>0</v>
          </cell>
          <cell r="H19">
            <v>0.21000000000000019</v>
          </cell>
          <cell r="K19">
            <v>0.19460000000000019</v>
          </cell>
        </row>
        <row r="20">
          <cell r="E20">
            <v>0</v>
          </cell>
          <cell r="H20">
            <v>0</v>
          </cell>
          <cell r="K20">
            <v>0</v>
          </cell>
        </row>
        <row r="21">
          <cell r="E21">
            <v>0</v>
          </cell>
          <cell r="H21">
            <v>0</v>
          </cell>
          <cell r="K21">
            <v>0</v>
          </cell>
        </row>
        <row r="22">
          <cell r="E22">
            <v>1.5</v>
          </cell>
          <cell r="H22">
            <v>0.71</v>
          </cell>
          <cell r="K22">
            <v>0.71353333333333391</v>
          </cell>
        </row>
        <row r="23">
          <cell r="E23">
            <v>0</v>
          </cell>
          <cell r="H23">
            <v>1.37</v>
          </cell>
          <cell r="K23">
            <v>6.2920666666666678</v>
          </cell>
        </row>
        <row r="24">
          <cell r="E24">
            <v>0</v>
          </cell>
          <cell r="H24">
            <v>0.43000000000000016</v>
          </cell>
          <cell r="K24">
            <v>4.0865999999999998</v>
          </cell>
        </row>
        <row r="25">
          <cell r="E25">
            <v>0</v>
          </cell>
          <cell r="H25">
            <v>5.5500000000000007</v>
          </cell>
          <cell r="K25">
            <v>3.3082000000000016</v>
          </cell>
        </row>
        <row r="26">
          <cell r="E26">
            <v>0</v>
          </cell>
          <cell r="H26">
            <v>0.69</v>
          </cell>
          <cell r="K26">
            <v>0.71353333333333391</v>
          </cell>
        </row>
        <row r="27">
          <cell r="E27">
            <v>0</v>
          </cell>
          <cell r="H27">
            <v>5.0000000000000044E-2</v>
          </cell>
          <cell r="K27">
            <v>0.32433333333333364</v>
          </cell>
        </row>
        <row r="28">
          <cell r="E28">
            <v>0</v>
          </cell>
          <cell r="H28">
            <v>0.73</v>
          </cell>
          <cell r="K28">
            <v>1.1027333333333342</v>
          </cell>
        </row>
        <row r="29">
          <cell r="E29">
            <v>1.36</v>
          </cell>
          <cell r="H29">
            <v>0.75</v>
          </cell>
          <cell r="K29">
            <v>2.1406000000000005</v>
          </cell>
        </row>
        <row r="30">
          <cell r="E30">
            <v>0</v>
          </cell>
          <cell r="H30">
            <v>2.89</v>
          </cell>
          <cell r="K30">
            <v>2.1406000000000005</v>
          </cell>
        </row>
        <row r="31">
          <cell r="E31">
            <v>0</v>
          </cell>
          <cell r="H31">
            <v>3.69</v>
          </cell>
          <cell r="K31">
            <v>0</v>
          </cell>
        </row>
        <row r="32">
          <cell r="E32">
            <v>0</v>
          </cell>
          <cell r="H32">
            <v>0.66999999999999993</v>
          </cell>
          <cell r="K32">
            <v>0.58380000000000054</v>
          </cell>
        </row>
        <row r="33">
          <cell r="E33">
            <v>0.36</v>
          </cell>
          <cell r="H33">
            <v>0.4700000000000002</v>
          </cell>
          <cell r="K33">
            <v>0.45406666666666706</v>
          </cell>
        </row>
        <row r="34">
          <cell r="E34">
            <v>0</v>
          </cell>
          <cell r="H34">
            <v>7.0000000000000062E-2</v>
          </cell>
          <cell r="K34">
            <v>0.45406666666666706</v>
          </cell>
        </row>
        <row r="35">
          <cell r="E35">
            <v>0</v>
          </cell>
          <cell r="H35">
            <v>0</v>
          </cell>
          <cell r="K35">
            <v>0</v>
          </cell>
        </row>
        <row r="36">
          <cell r="E36">
            <v>0</v>
          </cell>
          <cell r="H36">
            <v>0</v>
          </cell>
          <cell r="K36">
            <v>0</v>
          </cell>
        </row>
        <row r="37">
          <cell r="E37">
            <v>0.98</v>
          </cell>
          <cell r="H37">
            <v>1.0000000000000009E-2</v>
          </cell>
          <cell r="K37">
            <v>0</v>
          </cell>
        </row>
        <row r="38">
          <cell r="E38">
            <v>0</v>
          </cell>
          <cell r="H38">
            <v>0</v>
          </cell>
          <cell r="K38">
            <v>0</v>
          </cell>
        </row>
        <row r="39">
          <cell r="E39">
            <v>0</v>
          </cell>
          <cell r="H39">
            <v>0.60999999999999988</v>
          </cell>
          <cell r="K39">
            <v>0.8432666666666675</v>
          </cell>
        </row>
        <row r="40">
          <cell r="E40">
            <v>0</v>
          </cell>
          <cell r="H40">
            <v>0</v>
          </cell>
          <cell r="K40">
            <v>0</v>
          </cell>
        </row>
        <row r="41">
          <cell r="E41">
            <v>0</v>
          </cell>
          <cell r="H41">
            <v>0</v>
          </cell>
          <cell r="K41">
            <v>0</v>
          </cell>
        </row>
        <row r="42">
          <cell r="E42">
            <v>0</v>
          </cell>
          <cell r="H42">
            <v>0</v>
          </cell>
          <cell r="K42">
            <v>0</v>
          </cell>
        </row>
        <row r="43">
          <cell r="E43">
            <v>0</v>
          </cell>
          <cell r="H43">
            <v>0</v>
          </cell>
          <cell r="K43">
            <v>0</v>
          </cell>
        </row>
        <row r="44">
          <cell r="E44">
            <v>0</v>
          </cell>
          <cell r="H44">
            <v>0</v>
          </cell>
          <cell r="K44">
            <v>0</v>
          </cell>
        </row>
        <row r="45">
          <cell r="E45">
            <v>0</v>
          </cell>
          <cell r="H45">
            <v>0</v>
          </cell>
          <cell r="K45">
            <v>0</v>
          </cell>
        </row>
        <row r="46">
          <cell r="E46">
            <v>0</v>
          </cell>
          <cell r="H46">
            <v>0</v>
          </cell>
          <cell r="K46">
            <v>0</v>
          </cell>
        </row>
        <row r="47">
          <cell r="E47">
            <v>0</v>
          </cell>
          <cell r="H47">
            <v>0</v>
          </cell>
          <cell r="K47">
            <v>0</v>
          </cell>
        </row>
        <row r="48">
          <cell r="E48">
            <v>0</v>
          </cell>
          <cell r="H48">
            <v>0</v>
          </cell>
          <cell r="K48">
            <v>0.12973333333333345</v>
          </cell>
        </row>
        <row r="49">
          <cell r="E49">
            <v>0</v>
          </cell>
          <cell r="H49">
            <v>0</v>
          </cell>
          <cell r="K49">
            <v>0</v>
          </cell>
        </row>
        <row r="50">
          <cell r="E50">
            <v>0</v>
          </cell>
          <cell r="H50">
            <v>0.48</v>
          </cell>
          <cell r="K50">
            <v>2.0757333333333352</v>
          </cell>
        </row>
      </sheetData>
      <sheetData sheetId="4" refreshError="1"/>
      <sheetData sheetId="5">
        <row r="8">
          <cell r="N8">
            <v>25.735387734426212</v>
          </cell>
        </row>
        <row r="9">
          <cell r="N9">
            <v>7.6547687569310403</v>
          </cell>
        </row>
        <row r="10">
          <cell r="N10">
            <v>6.1554116451049739</v>
          </cell>
        </row>
        <row r="11">
          <cell r="N11">
            <v>1.055063929909914</v>
          </cell>
        </row>
        <row r="12">
          <cell r="N12">
            <v>3.1610304723558684</v>
          </cell>
        </row>
        <row r="13">
          <cell r="N13">
            <v>13.523560258261563</v>
          </cell>
        </row>
        <row r="14">
          <cell r="N14">
            <v>20.394806056663921</v>
          </cell>
        </row>
        <row r="15">
          <cell r="N15">
            <v>5.5544908331723679</v>
          </cell>
        </row>
        <row r="16">
          <cell r="N16">
            <v>5.3403698264910577</v>
          </cell>
        </row>
        <row r="17">
          <cell r="N17">
            <v>3.1205958700174161</v>
          </cell>
        </row>
        <row r="18">
          <cell r="N18">
            <v>1.7922986314822316</v>
          </cell>
        </row>
        <row r="19">
          <cell r="N19">
            <v>0.14309554302764985</v>
          </cell>
        </row>
        <row r="20">
          <cell r="N20">
            <v>6.3691204421557863</v>
          </cell>
        </row>
        <row r="32">
          <cell r="N32">
            <v>0.14909980774694551</v>
          </cell>
        </row>
        <row r="33">
          <cell r="N33">
            <v>2.8774335884810558</v>
          </cell>
        </row>
        <row r="34">
          <cell r="N34">
            <v>1.1064035223118613</v>
          </cell>
        </row>
        <row r="35">
          <cell r="N35">
            <v>1.257675332703927</v>
          </cell>
        </row>
        <row r="36">
          <cell r="N36">
            <v>2.2641565056872506</v>
          </cell>
        </row>
        <row r="37">
          <cell r="N37">
            <v>2.6647157810200111</v>
          </cell>
        </row>
        <row r="38">
          <cell r="N38">
            <v>2.5618124240858844</v>
          </cell>
        </row>
        <row r="39">
          <cell r="N39">
            <v>0.92888343999907796</v>
          </cell>
        </row>
        <row r="43">
          <cell r="N43">
            <v>3.1610304723558684</v>
          </cell>
        </row>
        <row r="44">
          <cell r="N44">
            <v>8.5382260853710683</v>
          </cell>
        </row>
        <row r="45">
          <cell r="N45">
            <v>4.9853341728904947</v>
          </cell>
        </row>
        <row r="46">
          <cell r="N46">
            <v>10.929856705213759</v>
          </cell>
        </row>
        <row r="47">
          <cell r="N47">
            <v>1.5483589445681867</v>
          </cell>
        </row>
        <row r="48">
          <cell r="N48">
            <v>0.41291170809685901</v>
          </cell>
        </row>
        <row r="49">
          <cell r="N49">
            <v>2.2605251200906822</v>
          </cell>
        </row>
        <row r="50">
          <cell r="N50">
            <v>5.2431535786944341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 1 _ Echant et Séchage"/>
      <sheetName val="F2_hétéroclites primaires"/>
      <sheetName val="F 3 _ Criblage et Tri"/>
      <sheetName val="F 4 TRI _ Granulo"/>
      <sheetName val="F5_synthèse "/>
      <sheetName val="Calcul sous cat &gt;20"/>
    </sheetNames>
    <sheetDataSet>
      <sheetData sheetId="0">
        <row r="5">
          <cell r="D5" t="str">
            <v>IVR-E15-PB-BAN</v>
          </cell>
        </row>
        <row r="6">
          <cell r="D6" t="str">
            <v>DJ 740 PY - IVRY-SUR-SEINE</v>
          </cell>
        </row>
        <row r="8">
          <cell r="D8" t="str">
            <v>IVRY</v>
          </cell>
        </row>
        <row r="12">
          <cell r="B12">
            <v>42193</v>
          </cell>
          <cell r="E12" t="str">
            <v>19H10</v>
          </cell>
        </row>
        <row r="15">
          <cell r="E15" t="str">
            <v>sec, nuageux</v>
          </cell>
        </row>
        <row r="19">
          <cell r="G19">
            <v>125.65</v>
          </cell>
        </row>
        <row r="26">
          <cell r="H26">
            <v>0.4</v>
          </cell>
        </row>
        <row r="51">
          <cell r="D51">
            <v>0.35286112216474347</v>
          </cell>
        </row>
      </sheetData>
      <sheetData sheetId="1" refreshError="1"/>
      <sheetData sheetId="2">
        <row r="27">
          <cell r="C27">
            <v>3.1000000000000005</v>
          </cell>
          <cell r="D27">
            <v>3.9000000000000004</v>
          </cell>
        </row>
      </sheetData>
      <sheetData sheetId="3">
        <row r="5">
          <cell r="E5">
            <v>0</v>
          </cell>
          <cell r="H5">
            <v>0.31000000000000005</v>
          </cell>
          <cell r="K5">
            <v>4.7447709923664165</v>
          </cell>
        </row>
        <row r="6">
          <cell r="E6">
            <v>0</v>
          </cell>
          <cell r="H6">
            <v>1.0000000000000009E-2</v>
          </cell>
          <cell r="K6">
            <v>8.4440839694656535</v>
          </cell>
        </row>
        <row r="7">
          <cell r="E7">
            <v>0</v>
          </cell>
          <cell r="H7">
            <v>0</v>
          </cell>
          <cell r="K7">
            <v>0</v>
          </cell>
        </row>
        <row r="8">
          <cell r="E8">
            <v>0</v>
          </cell>
          <cell r="H8">
            <v>0.13000000000000012</v>
          </cell>
          <cell r="K8">
            <v>0</v>
          </cell>
        </row>
        <row r="9">
          <cell r="E9">
            <v>0</v>
          </cell>
          <cell r="H9">
            <v>0</v>
          </cell>
          <cell r="K9">
            <v>0.40209923664122188</v>
          </cell>
        </row>
        <row r="10">
          <cell r="E10">
            <v>0</v>
          </cell>
          <cell r="H10">
            <v>0.43000000000000016</v>
          </cell>
          <cell r="K10">
            <v>0.56293893129771067</v>
          </cell>
        </row>
        <row r="11">
          <cell r="E11">
            <v>0</v>
          </cell>
          <cell r="H11">
            <v>3.61</v>
          </cell>
          <cell r="K11">
            <v>0</v>
          </cell>
        </row>
        <row r="12">
          <cell r="E12">
            <v>0</v>
          </cell>
          <cell r="H12">
            <v>0.27</v>
          </cell>
          <cell r="K12">
            <v>0.56293893129771067</v>
          </cell>
        </row>
        <row r="13">
          <cell r="E13">
            <v>0</v>
          </cell>
          <cell r="H13">
            <v>1.9500000000000002</v>
          </cell>
          <cell r="K13">
            <v>0.88461832061068812</v>
          </cell>
        </row>
        <row r="14">
          <cell r="E14">
            <v>0</v>
          </cell>
          <cell r="H14">
            <v>5.0000000000000044E-2</v>
          </cell>
          <cell r="K14">
            <v>1.0454580152671769</v>
          </cell>
        </row>
        <row r="15">
          <cell r="E15">
            <v>0</v>
          </cell>
          <cell r="H15">
            <v>1.31</v>
          </cell>
          <cell r="K15">
            <v>2.4930152671755739</v>
          </cell>
        </row>
        <row r="16">
          <cell r="E16">
            <v>3.66</v>
          </cell>
          <cell r="H16">
            <v>0.99000000000000021</v>
          </cell>
          <cell r="K16">
            <v>0</v>
          </cell>
        </row>
        <row r="17">
          <cell r="E17">
            <v>6.0000000000000053E-2</v>
          </cell>
          <cell r="H17">
            <v>0.21000000000000019</v>
          </cell>
          <cell r="K17">
            <v>0.40209923664122188</v>
          </cell>
        </row>
        <row r="18">
          <cell r="E18">
            <v>0</v>
          </cell>
          <cell r="H18">
            <v>0.35000000000000009</v>
          </cell>
          <cell r="K18">
            <v>0</v>
          </cell>
        </row>
        <row r="19">
          <cell r="E19">
            <v>6.0000000000000053E-2</v>
          </cell>
          <cell r="H19">
            <v>0.17000000000000015</v>
          </cell>
          <cell r="K19">
            <v>0.72377862595419939</v>
          </cell>
        </row>
        <row r="20">
          <cell r="E20">
            <v>0</v>
          </cell>
          <cell r="H20">
            <v>0</v>
          </cell>
          <cell r="K20">
            <v>0</v>
          </cell>
        </row>
        <row r="21">
          <cell r="E21">
            <v>0</v>
          </cell>
          <cell r="H21">
            <v>0</v>
          </cell>
          <cell r="K21">
            <v>0</v>
          </cell>
        </row>
        <row r="22">
          <cell r="E22">
            <v>0</v>
          </cell>
          <cell r="H22">
            <v>1.31</v>
          </cell>
          <cell r="K22">
            <v>1.0454580152671769</v>
          </cell>
        </row>
        <row r="23">
          <cell r="E23">
            <v>0</v>
          </cell>
          <cell r="H23">
            <v>0</v>
          </cell>
          <cell r="K23">
            <v>0.72377862595419939</v>
          </cell>
        </row>
        <row r="24">
          <cell r="E24">
            <v>0</v>
          </cell>
          <cell r="H24">
            <v>0.25</v>
          </cell>
          <cell r="K24">
            <v>6.3531679389312998</v>
          </cell>
        </row>
        <row r="25">
          <cell r="E25">
            <v>0</v>
          </cell>
          <cell r="H25">
            <v>4.5300000000000011</v>
          </cell>
          <cell r="K25">
            <v>2.3321755725190854</v>
          </cell>
        </row>
        <row r="26">
          <cell r="E26">
            <v>0</v>
          </cell>
          <cell r="H26">
            <v>2.2500000000000009</v>
          </cell>
          <cell r="K26">
            <v>0.88461832061068812</v>
          </cell>
        </row>
        <row r="27">
          <cell r="E27">
            <v>0.3400000000000003</v>
          </cell>
          <cell r="H27">
            <v>0.51000000000000023</v>
          </cell>
          <cell r="K27">
            <v>0</v>
          </cell>
        </row>
        <row r="28">
          <cell r="E28">
            <v>0</v>
          </cell>
          <cell r="H28">
            <v>0.51000000000000023</v>
          </cell>
          <cell r="K28">
            <v>1.6888167938931318</v>
          </cell>
        </row>
        <row r="29">
          <cell r="E29">
            <v>0.64000000000000012</v>
          </cell>
          <cell r="H29">
            <v>0.35000000000000009</v>
          </cell>
          <cell r="K29">
            <v>1.3671374045801543</v>
          </cell>
        </row>
        <row r="30">
          <cell r="E30">
            <v>0.2200000000000002</v>
          </cell>
          <cell r="H30">
            <v>0.53000000000000025</v>
          </cell>
          <cell r="K30">
            <v>3.1363740458015283</v>
          </cell>
        </row>
        <row r="31">
          <cell r="E31">
            <v>0</v>
          </cell>
          <cell r="H31">
            <v>3.39</v>
          </cell>
          <cell r="K31">
            <v>0.88461832061068812</v>
          </cell>
        </row>
        <row r="32">
          <cell r="E32">
            <v>0</v>
          </cell>
          <cell r="H32">
            <v>0</v>
          </cell>
          <cell r="K32">
            <v>8.0419847328244365E-2</v>
          </cell>
        </row>
        <row r="33">
          <cell r="E33">
            <v>0.88000000000000034</v>
          </cell>
          <cell r="H33">
            <v>0.43000000000000016</v>
          </cell>
          <cell r="K33">
            <v>0.72377862595419939</v>
          </cell>
        </row>
        <row r="34">
          <cell r="E34">
            <v>0</v>
          </cell>
          <cell r="H34">
            <v>0</v>
          </cell>
          <cell r="K34">
            <v>0.40209923664122188</v>
          </cell>
        </row>
        <row r="35">
          <cell r="E35">
            <v>0</v>
          </cell>
          <cell r="H35">
            <v>0</v>
          </cell>
          <cell r="K35">
            <v>0</v>
          </cell>
        </row>
        <row r="36">
          <cell r="E36">
            <v>0</v>
          </cell>
          <cell r="H36">
            <v>0</v>
          </cell>
          <cell r="K36">
            <v>0</v>
          </cell>
        </row>
        <row r="37">
          <cell r="E37">
            <v>0</v>
          </cell>
          <cell r="H37">
            <v>0.31000000000000005</v>
          </cell>
          <cell r="K37">
            <v>0</v>
          </cell>
        </row>
        <row r="38">
          <cell r="E38">
            <v>0</v>
          </cell>
          <cell r="H38">
            <v>0.49000000000000021</v>
          </cell>
          <cell r="K38">
            <v>0.24125954198473309</v>
          </cell>
        </row>
        <row r="39">
          <cell r="E39">
            <v>0</v>
          </cell>
          <cell r="H39">
            <v>1.4900000000000002</v>
          </cell>
          <cell r="K39">
            <v>0.56293893129771067</v>
          </cell>
        </row>
        <row r="40">
          <cell r="E40">
            <v>0</v>
          </cell>
          <cell r="H40">
            <v>6.0000000000000053E-2</v>
          </cell>
          <cell r="K40">
            <v>0</v>
          </cell>
        </row>
        <row r="41">
          <cell r="E41">
            <v>0</v>
          </cell>
          <cell r="H41">
            <v>0</v>
          </cell>
          <cell r="K41">
            <v>0</v>
          </cell>
        </row>
        <row r="42">
          <cell r="E42">
            <v>0</v>
          </cell>
          <cell r="H42">
            <v>0</v>
          </cell>
          <cell r="K42">
            <v>0</v>
          </cell>
        </row>
        <row r="43">
          <cell r="E43">
            <v>0</v>
          </cell>
          <cell r="H43">
            <v>0</v>
          </cell>
          <cell r="K43">
            <v>0</v>
          </cell>
        </row>
        <row r="44">
          <cell r="E44">
            <v>0</v>
          </cell>
          <cell r="H44">
            <v>0</v>
          </cell>
          <cell r="K44">
            <v>0</v>
          </cell>
        </row>
        <row r="45">
          <cell r="E45">
            <v>0</v>
          </cell>
          <cell r="H45">
            <v>0</v>
          </cell>
          <cell r="K45">
            <v>0</v>
          </cell>
        </row>
        <row r="46">
          <cell r="E46">
            <v>0</v>
          </cell>
          <cell r="H46">
            <v>0</v>
          </cell>
          <cell r="K46">
            <v>0</v>
          </cell>
        </row>
        <row r="47">
          <cell r="E47">
            <v>0</v>
          </cell>
          <cell r="H47">
            <v>0</v>
          </cell>
          <cell r="K47">
            <v>0</v>
          </cell>
        </row>
        <row r="48">
          <cell r="E48">
            <v>0</v>
          </cell>
          <cell r="H48">
            <v>0</v>
          </cell>
          <cell r="K48">
            <v>0</v>
          </cell>
        </row>
        <row r="49">
          <cell r="E49">
            <v>0</v>
          </cell>
          <cell r="H49">
            <v>0</v>
          </cell>
          <cell r="K49">
            <v>0</v>
          </cell>
        </row>
        <row r="50">
          <cell r="E50">
            <v>0</v>
          </cell>
          <cell r="H50">
            <v>0.12000000000000011</v>
          </cell>
          <cell r="K50">
            <v>4.0209923664122149</v>
          </cell>
        </row>
      </sheetData>
      <sheetData sheetId="4" refreshError="1"/>
      <sheetData sheetId="5">
        <row r="8">
          <cell r="N8">
            <v>33.408422817223723</v>
          </cell>
        </row>
        <row r="9">
          <cell r="N9">
            <v>9.1236061786508351</v>
          </cell>
        </row>
        <row r="10">
          <cell r="N10">
            <v>8.8901348466412724</v>
          </cell>
        </row>
        <row r="11">
          <cell r="N11">
            <v>1.598735870640416</v>
          </cell>
        </row>
        <row r="12">
          <cell r="N12">
            <v>2.2928079103186443</v>
          </cell>
        </row>
        <row r="13">
          <cell r="N13">
            <v>7.3355347049018258</v>
          </cell>
        </row>
        <row r="14">
          <cell r="N14">
            <v>16.915924737464447</v>
          </cell>
        </row>
        <row r="15">
          <cell r="N15">
            <v>3.8632698825070024</v>
          </cell>
        </row>
        <row r="16">
          <cell r="N16">
            <v>4.2341732022753122</v>
          </cell>
        </row>
        <row r="17">
          <cell r="N17">
            <v>3.4906992340631122</v>
          </cell>
        </row>
        <row r="18">
          <cell r="N18">
            <v>2.2790780852279116</v>
          </cell>
        </row>
        <row r="19">
          <cell r="N19">
            <v>5.9565679415749341E-2</v>
          </cell>
        </row>
        <row r="20">
          <cell r="N20">
            <v>6.5080468506697535</v>
          </cell>
        </row>
        <row r="32">
          <cell r="N32">
            <v>0.99198903727027221</v>
          </cell>
        </row>
        <row r="33">
          <cell r="N33">
            <v>3.4803459236226422</v>
          </cell>
        </row>
        <row r="34">
          <cell r="N34">
            <v>0.80302371583617393</v>
          </cell>
        </row>
        <row r="35">
          <cell r="N35">
            <v>2.7591977867788047</v>
          </cell>
        </row>
        <row r="36">
          <cell r="N36">
            <v>1.0890497151429428</v>
          </cell>
        </row>
        <row r="37">
          <cell r="N37">
            <v>3.6966440130892071</v>
          </cell>
        </row>
        <row r="38">
          <cell r="N38">
            <v>4.5262290630431377</v>
          </cell>
        </row>
        <row r="39">
          <cell r="N39">
            <v>0.66726177050892832</v>
          </cell>
        </row>
        <row r="43">
          <cell r="N43">
            <v>2.2928079103186443</v>
          </cell>
        </row>
        <row r="44">
          <cell r="N44">
            <v>0.73960116876796267</v>
          </cell>
        </row>
        <row r="45">
          <cell r="N45">
            <v>6.5959335361338631</v>
          </cell>
        </row>
        <row r="46">
          <cell r="N46">
            <v>7.7524821274637494</v>
          </cell>
        </row>
        <row r="47">
          <cell r="N47">
            <v>3.1629971818291454</v>
          </cell>
        </row>
        <row r="48">
          <cell r="N48">
            <v>0.85745621990511189</v>
          </cell>
        </row>
        <row r="49">
          <cell r="N49">
            <v>2.4819044349902923</v>
          </cell>
        </row>
        <row r="50">
          <cell r="N50">
            <v>2.6610847732761487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 1 _ Echant et Séchage"/>
      <sheetName val="F2_hétéroclites primaires"/>
      <sheetName val="F 3 _ Criblage et Tri"/>
      <sheetName val="F 4 TRI _ Granulo"/>
      <sheetName val="F5_synthèse "/>
      <sheetName val="Calcul sous cat &gt;20"/>
    </sheetNames>
    <sheetDataSet>
      <sheetData sheetId="0">
        <row r="5">
          <cell r="D5" t="str">
            <v>IVR-E15-PB-PAR</v>
          </cell>
        </row>
        <row r="6">
          <cell r="D6" t="str">
            <v>456 QPG 75 - PARIS 12E</v>
          </cell>
        </row>
        <row r="8">
          <cell r="D8" t="str">
            <v>IVRY</v>
          </cell>
        </row>
        <row r="12">
          <cell r="B12">
            <v>42193</v>
          </cell>
          <cell r="E12" t="str">
            <v>19H00</v>
          </cell>
        </row>
        <row r="15">
          <cell r="E15" t="str">
            <v>sec, nuageux</v>
          </cell>
        </row>
        <row r="19">
          <cell r="G19">
            <v>126.08000000000001</v>
          </cell>
        </row>
        <row r="26">
          <cell r="H26">
            <v>0.5</v>
          </cell>
        </row>
        <row r="51">
          <cell r="D51">
            <v>0.3937182741116752</v>
          </cell>
        </row>
      </sheetData>
      <sheetData sheetId="1" refreshError="1"/>
      <sheetData sheetId="2">
        <row r="27">
          <cell r="C27">
            <v>7.080000000000001</v>
          </cell>
          <cell r="D27">
            <v>5.5000000000000009</v>
          </cell>
        </row>
      </sheetData>
      <sheetData sheetId="3">
        <row r="5">
          <cell r="E5">
            <v>0</v>
          </cell>
          <cell r="H5">
            <v>0.15000000000000013</v>
          </cell>
          <cell r="K5">
            <v>5.235348837209302</v>
          </cell>
        </row>
        <row r="6">
          <cell r="E6">
            <v>0</v>
          </cell>
          <cell r="H6">
            <v>0.19</v>
          </cell>
          <cell r="K6">
            <v>2.0775193798449614</v>
          </cell>
        </row>
        <row r="7">
          <cell r="E7">
            <v>0</v>
          </cell>
          <cell r="H7">
            <v>0</v>
          </cell>
          <cell r="K7">
            <v>0</v>
          </cell>
        </row>
        <row r="8">
          <cell r="E8">
            <v>0</v>
          </cell>
          <cell r="H8">
            <v>0</v>
          </cell>
          <cell r="K8">
            <v>0</v>
          </cell>
        </row>
        <row r="9">
          <cell r="E9">
            <v>0</v>
          </cell>
          <cell r="H9">
            <v>1.0000000000000009E-2</v>
          </cell>
          <cell r="K9">
            <v>0</v>
          </cell>
        </row>
        <row r="10">
          <cell r="E10">
            <v>0</v>
          </cell>
          <cell r="H10">
            <v>3.0000000000000027E-2</v>
          </cell>
          <cell r="K10">
            <v>0.74790697674418671</v>
          </cell>
        </row>
        <row r="11">
          <cell r="E11">
            <v>0</v>
          </cell>
          <cell r="H11">
            <v>0.81</v>
          </cell>
          <cell r="K11">
            <v>0.24930232558139559</v>
          </cell>
        </row>
        <row r="12">
          <cell r="E12">
            <v>0</v>
          </cell>
          <cell r="H12">
            <v>1.6099999999999999</v>
          </cell>
          <cell r="K12">
            <v>0</v>
          </cell>
        </row>
        <row r="13">
          <cell r="E13">
            <v>0</v>
          </cell>
          <cell r="H13">
            <v>0.73</v>
          </cell>
          <cell r="K13">
            <v>0.91410852713178381</v>
          </cell>
        </row>
        <row r="14">
          <cell r="E14">
            <v>0</v>
          </cell>
          <cell r="H14">
            <v>3.0000000000000027E-2</v>
          </cell>
          <cell r="K14">
            <v>0.91410852713178381</v>
          </cell>
        </row>
        <row r="15">
          <cell r="E15">
            <v>0</v>
          </cell>
          <cell r="H15">
            <v>0.99000000000000021</v>
          </cell>
          <cell r="K15">
            <v>1.5789147286821719</v>
          </cell>
        </row>
        <row r="16">
          <cell r="E16">
            <v>0</v>
          </cell>
          <cell r="H16">
            <v>1.17</v>
          </cell>
          <cell r="K16">
            <v>2.4099224806201551</v>
          </cell>
        </row>
        <row r="17">
          <cell r="E17">
            <v>0</v>
          </cell>
          <cell r="H17">
            <v>0.17000000000000015</v>
          </cell>
          <cell r="K17">
            <v>0.91410852713178381</v>
          </cell>
        </row>
        <row r="18">
          <cell r="E18">
            <v>0</v>
          </cell>
          <cell r="H18">
            <v>5.0000000000000044E-2</v>
          </cell>
          <cell r="K18">
            <v>0</v>
          </cell>
        </row>
        <row r="19">
          <cell r="E19">
            <v>0</v>
          </cell>
          <cell r="H19">
            <v>0</v>
          </cell>
          <cell r="K19">
            <v>1.0803100775193808</v>
          </cell>
        </row>
        <row r="20">
          <cell r="E20">
            <v>0</v>
          </cell>
          <cell r="H20">
            <v>0</v>
          </cell>
          <cell r="K20">
            <v>0</v>
          </cell>
        </row>
        <row r="21">
          <cell r="E21">
            <v>0</v>
          </cell>
          <cell r="H21">
            <v>5.0000000000000044E-2</v>
          </cell>
          <cell r="K21">
            <v>0</v>
          </cell>
        </row>
        <row r="22">
          <cell r="E22">
            <v>0</v>
          </cell>
          <cell r="H22">
            <v>0.79</v>
          </cell>
          <cell r="K22">
            <v>0</v>
          </cell>
        </row>
        <row r="23">
          <cell r="E23">
            <v>0</v>
          </cell>
          <cell r="H23">
            <v>0</v>
          </cell>
          <cell r="K23">
            <v>4.9029457364341109</v>
          </cell>
        </row>
        <row r="24">
          <cell r="E24">
            <v>0</v>
          </cell>
          <cell r="H24">
            <v>5.0000000000000044E-2</v>
          </cell>
          <cell r="K24">
            <v>5.235348837209302</v>
          </cell>
        </row>
        <row r="25">
          <cell r="E25">
            <v>0.86000000000000032</v>
          </cell>
          <cell r="H25">
            <v>6.73</v>
          </cell>
          <cell r="K25">
            <v>2.0775193798449614</v>
          </cell>
        </row>
        <row r="26">
          <cell r="E26">
            <v>0</v>
          </cell>
          <cell r="H26">
            <v>1.35</v>
          </cell>
          <cell r="K26">
            <v>1.5789147286821719</v>
          </cell>
        </row>
        <row r="27">
          <cell r="E27">
            <v>0</v>
          </cell>
          <cell r="H27">
            <v>0.95000000000000018</v>
          </cell>
          <cell r="K27">
            <v>0</v>
          </cell>
        </row>
        <row r="28">
          <cell r="E28">
            <v>0</v>
          </cell>
          <cell r="H28">
            <v>0.85000000000000009</v>
          </cell>
          <cell r="K28">
            <v>1.2465116279069779</v>
          </cell>
        </row>
        <row r="29">
          <cell r="E29">
            <v>0.29999999999999982</v>
          </cell>
          <cell r="H29">
            <v>0.60999999999999988</v>
          </cell>
          <cell r="K29">
            <v>2.5761240310077524</v>
          </cell>
        </row>
        <row r="30">
          <cell r="E30">
            <v>0</v>
          </cell>
          <cell r="H30">
            <v>0.85000000000000009</v>
          </cell>
          <cell r="K30">
            <v>1.0803100775193808</v>
          </cell>
        </row>
        <row r="31">
          <cell r="E31">
            <v>0</v>
          </cell>
          <cell r="H31">
            <v>0.64999999999999991</v>
          </cell>
          <cell r="K31">
            <v>1.412713178294575</v>
          </cell>
        </row>
        <row r="32">
          <cell r="E32">
            <v>0</v>
          </cell>
          <cell r="H32">
            <v>5.0000000000000044E-2</v>
          </cell>
          <cell r="K32">
            <v>2.4099224806201551</v>
          </cell>
        </row>
        <row r="33">
          <cell r="E33">
            <v>0</v>
          </cell>
          <cell r="H33">
            <v>0.53000000000000025</v>
          </cell>
          <cell r="K33">
            <v>1.9113178294573641</v>
          </cell>
        </row>
        <row r="34">
          <cell r="E34">
            <v>0</v>
          </cell>
          <cell r="H34">
            <v>5.0000000000000044E-2</v>
          </cell>
          <cell r="K34">
            <v>8.3100775193798521E-2</v>
          </cell>
        </row>
        <row r="35">
          <cell r="E35">
            <v>0</v>
          </cell>
          <cell r="H35">
            <v>0</v>
          </cell>
          <cell r="K35">
            <v>0</v>
          </cell>
        </row>
        <row r="36">
          <cell r="E36">
            <v>0</v>
          </cell>
          <cell r="H36">
            <v>0</v>
          </cell>
          <cell r="K36">
            <v>0</v>
          </cell>
        </row>
        <row r="37">
          <cell r="E37">
            <v>0</v>
          </cell>
          <cell r="H37">
            <v>0</v>
          </cell>
          <cell r="K37">
            <v>8.3100775193798521E-2</v>
          </cell>
        </row>
        <row r="38">
          <cell r="E38">
            <v>0</v>
          </cell>
          <cell r="H38">
            <v>0</v>
          </cell>
          <cell r="K38">
            <v>0</v>
          </cell>
        </row>
        <row r="39">
          <cell r="E39">
            <v>0</v>
          </cell>
          <cell r="H39">
            <v>3.0000000000000027E-2</v>
          </cell>
          <cell r="K39">
            <v>0</v>
          </cell>
        </row>
        <row r="40">
          <cell r="E40">
            <v>0</v>
          </cell>
          <cell r="H40">
            <v>0</v>
          </cell>
          <cell r="K40">
            <v>0</v>
          </cell>
        </row>
        <row r="41">
          <cell r="E41">
            <v>0</v>
          </cell>
          <cell r="H41">
            <v>0</v>
          </cell>
          <cell r="K41">
            <v>0</v>
          </cell>
        </row>
        <row r="42">
          <cell r="E42">
            <v>0</v>
          </cell>
          <cell r="H42">
            <v>0</v>
          </cell>
          <cell r="K42">
            <v>0</v>
          </cell>
        </row>
        <row r="43">
          <cell r="E43">
            <v>0</v>
          </cell>
          <cell r="H43">
            <v>0</v>
          </cell>
          <cell r="K43">
            <v>0</v>
          </cell>
        </row>
        <row r="44">
          <cell r="E44">
            <v>0</v>
          </cell>
          <cell r="H44">
            <v>0</v>
          </cell>
          <cell r="K44">
            <v>0</v>
          </cell>
        </row>
        <row r="45">
          <cell r="E45">
            <v>0</v>
          </cell>
          <cell r="H45">
            <v>0</v>
          </cell>
          <cell r="K45">
            <v>0</v>
          </cell>
        </row>
        <row r="46">
          <cell r="E46">
            <v>0</v>
          </cell>
          <cell r="H46">
            <v>0</v>
          </cell>
          <cell r="K46">
            <v>0</v>
          </cell>
        </row>
        <row r="47">
          <cell r="E47">
            <v>0</v>
          </cell>
          <cell r="H47">
            <v>0</v>
          </cell>
          <cell r="K47">
            <v>0</v>
          </cell>
        </row>
        <row r="48">
          <cell r="E48">
            <v>0</v>
          </cell>
          <cell r="H48">
            <v>0</v>
          </cell>
          <cell r="K48">
            <v>0</v>
          </cell>
        </row>
        <row r="49">
          <cell r="E49">
            <v>0</v>
          </cell>
          <cell r="H49">
            <v>0</v>
          </cell>
          <cell r="K49">
            <v>0</v>
          </cell>
        </row>
        <row r="50">
          <cell r="E50">
            <v>0</v>
          </cell>
          <cell r="H50">
            <v>0.40000000000000036</v>
          </cell>
          <cell r="K50">
            <v>4.4874418604651174</v>
          </cell>
        </row>
      </sheetData>
      <sheetData sheetId="4" refreshError="1"/>
      <sheetData sheetId="5">
        <row r="8">
          <cell r="N8">
            <v>22.069365382513702</v>
          </cell>
        </row>
        <row r="9">
          <cell r="N9">
            <v>7.1222384696768817</v>
          </cell>
        </row>
        <row r="10">
          <cell r="N10">
            <v>8.5363650241408973</v>
          </cell>
        </row>
        <row r="11">
          <cell r="N11">
            <v>1.7534755344371609</v>
          </cell>
        </row>
        <row r="12">
          <cell r="N12">
            <v>0.93164418396546278</v>
          </cell>
        </row>
        <row r="13">
          <cell r="N13">
            <v>12.347578549446409</v>
          </cell>
        </row>
        <row r="14">
          <cell r="N14">
            <v>25.451129592325191</v>
          </cell>
        </row>
        <row r="15">
          <cell r="N15">
            <v>2.3246643179271507</v>
          </cell>
        </row>
        <row r="16">
          <cell r="N16">
            <v>5.3279189230923762</v>
          </cell>
        </row>
        <row r="17">
          <cell r="N17">
            <v>3.2324040096300561</v>
          </cell>
        </row>
        <row r="18">
          <cell r="N18">
            <v>4.0351985237786644E-2</v>
          </cell>
        </row>
        <row r="19">
          <cell r="N19">
            <v>0</v>
          </cell>
        </row>
        <row r="20">
          <cell r="N20">
            <v>10.862864027606895</v>
          </cell>
        </row>
        <row r="32">
          <cell r="N32">
            <v>0.93800108684676686</v>
          </cell>
        </row>
        <row r="33">
          <cell r="N33">
            <v>1.2352151958752742</v>
          </cell>
        </row>
        <row r="34">
          <cell r="N34">
            <v>1.8773643910086761</v>
          </cell>
        </row>
        <row r="35">
          <cell r="N35">
            <v>1.936232213148994</v>
          </cell>
        </row>
        <row r="36">
          <cell r="N36">
            <v>1.1354255827971704</v>
          </cell>
        </row>
        <row r="37">
          <cell r="N37">
            <v>3.0211270092593119</v>
          </cell>
        </row>
        <row r="38">
          <cell r="N38">
            <v>4.2132338879157523</v>
          </cell>
        </row>
        <row r="39">
          <cell r="N39">
            <v>1.3020041269658331</v>
          </cell>
        </row>
        <row r="43">
          <cell r="N43">
            <v>0.93164418396546278</v>
          </cell>
        </row>
        <row r="44">
          <cell r="N44">
            <v>5.9797753433083694</v>
          </cell>
        </row>
        <row r="45">
          <cell r="N45">
            <v>6.3678032061380403</v>
          </cell>
        </row>
        <row r="46">
          <cell r="N46">
            <v>13.147097900464054</v>
          </cell>
        </row>
        <row r="47">
          <cell r="N47">
            <v>3.5605020887605807</v>
          </cell>
        </row>
        <row r="48">
          <cell r="N48">
            <v>1.1546849959829808</v>
          </cell>
        </row>
        <row r="49">
          <cell r="N49">
            <v>2.8497562974344306</v>
          </cell>
        </row>
        <row r="50">
          <cell r="N50">
            <v>4.7390883096831447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 1 _ Echant et Séchage"/>
      <sheetName val="F2_hétéroclites primaires"/>
      <sheetName val="F 3 _ Criblage et Tri"/>
      <sheetName val="F 4 TRI _ Granulo"/>
      <sheetName val="F5_synthèse "/>
      <sheetName val="Calcul sous cat &gt;20"/>
    </sheetNames>
    <sheetDataSet>
      <sheetData sheetId="0">
        <row r="5">
          <cell r="D5" t="str">
            <v>ROM-E15-PB-BAN</v>
          </cell>
        </row>
        <row r="6">
          <cell r="D6" t="str">
            <v>CD 781 RH - BONDY - CAEE</v>
          </cell>
        </row>
        <row r="8">
          <cell r="D8" t="str">
            <v>ROMAINVILLE</v>
          </cell>
        </row>
        <row r="12">
          <cell r="B12">
            <v>42200</v>
          </cell>
          <cell r="E12" t="str">
            <v>9H15</v>
          </cell>
        </row>
        <row r="15">
          <cell r="E15" t="str">
            <v>sec, ensoleillé</v>
          </cell>
        </row>
        <row r="19">
          <cell r="G19">
            <v>128.6</v>
          </cell>
        </row>
        <row r="26">
          <cell r="H26">
            <v>0.5</v>
          </cell>
        </row>
        <row r="51">
          <cell r="D51">
            <v>0.45878693623639183</v>
          </cell>
        </row>
      </sheetData>
      <sheetData sheetId="1" refreshError="1"/>
      <sheetData sheetId="2">
        <row r="27">
          <cell r="C27">
            <v>2.74</v>
          </cell>
          <cell r="D27">
            <v>4.66</v>
          </cell>
        </row>
      </sheetData>
      <sheetData sheetId="3">
        <row r="5">
          <cell r="E5">
            <v>0</v>
          </cell>
          <cell r="H5">
            <v>1.9700000000000002</v>
          </cell>
          <cell r="K5">
            <v>5.9035714285714294</v>
          </cell>
        </row>
        <row r="6">
          <cell r="E6">
            <v>0</v>
          </cell>
          <cell r="H6">
            <v>0.73</v>
          </cell>
          <cell r="K6">
            <v>1.8321428571428575</v>
          </cell>
        </row>
        <row r="7">
          <cell r="E7">
            <v>0</v>
          </cell>
          <cell r="H7">
            <v>0.19000000000000017</v>
          </cell>
          <cell r="K7">
            <v>0</v>
          </cell>
        </row>
        <row r="8">
          <cell r="E8">
            <v>0</v>
          </cell>
          <cell r="H8">
            <v>7.0000000000000062E-2</v>
          </cell>
          <cell r="K8">
            <v>0</v>
          </cell>
        </row>
        <row r="9">
          <cell r="E9">
            <v>0</v>
          </cell>
          <cell r="H9">
            <v>0</v>
          </cell>
          <cell r="K9">
            <v>0</v>
          </cell>
        </row>
        <row r="10">
          <cell r="E10">
            <v>0</v>
          </cell>
          <cell r="H10">
            <v>0.55000000000000027</v>
          </cell>
          <cell r="K10">
            <v>0.33928571428571463</v>
          </cell>
        </row>
        <row r="11">
          <cell r="E11">
            <v>0</v>
          </cell>
          <cell r="H11">
            <v>0.35000000000000009</v>
          </cell>
          <cell r="K11">
            <v>1.2892857142857155</v>
          </cell>
        </row>
        <row r="12">
          <cell r="E12">
            <v>0</v>
          </cell>
          <cell r="H12">
            <v>0</v>
          </cell>
          <cell r="K12">
            <v>0.20357142857142876</v>
          </cell>
        </row>
        <row r="13">
          <cell r="E13">
            <v>0</v>
          </cell>
          <cell r="H13">
            <v>0.41000000000000014</v>
          </cell>
          <cell r="K13">
            <v>0.47500000000000048</v>
          </cell>
        </row>
        <row r="14">
          <cell r="E14">
            <v>0</v>
          </cell>
          <cell r="H14">
            <v>0.57000000000000028</v>
          </cell>
          <cell r="K14">
            <v>1.2892857142857155</v>
          </cell>
        </row>
        <row r="15">
          <cell r="E15">
            <v>0</v>
          </cell>
          <cell r="H15">
            <v>0.57000000000000028</v>
          </cell>
          <cell r="K15">
            <v>1.8321428571428575</v>
          </cell>
        </row>
        <row r="16">
          <cell r="E16">
            <v>0</v>
          </cell>
          <cell r="H16">
            <v>0.71</v>
          </cell>
          <cell r="K16">
            <v>0.33928571428571463</v>
          </cell>
        </row>
        <row r="17">
          <cell r="E17">
            <v>0</v>
          </cell>
          <cell r="H17">
            <v>0.62999999999999989</v>
          </cell>
          <cell r="K17">
            <v>0.61071428571428632</v>
          </cell>
        </row>
        <row r="18">
          <cell r="E18">
            <v>0</v>
          </cell>
          <cell r="H18">
            <v>0.19000000000000017</v>
          </cell>
          <cell r="K18">
            <v>0</v>
          </cell>
        </row>
        <row r="19">
          <cell r="E19">
            <v>0</v>
          </cell>
          <cell r="H19">
            <v>7.0000000000000062E-2</v>
          </cell>
          <cell r="K19">
            <v>0.88214285714285812</v>
          </cell>
        </row>
        <row r="20">
          <cell r="E20">
            <v>0</v>
          </cell>
          <cell r="H20">
            <v>0</v>
          </cell>
          <cell r="K20">
            <v>0</v>
          </cell>
        </row>
        <row r="21">
          <cell r="E21">
            <v>0</v>
          </cell>
          <cell r="H21">
            <v>0</v>
          </cell>
          <cell r="K21">
            <v>0</v>
          </cell>
        </row>
        <row r="22">
          <cell r="E22">
            <v>0</v>
          </cell>
          <cell r="H22">
            <v>1.71</v>
          </cell>
          <cell r="K22">
            <v>0.61071428571428632</v>
          </cell>
        </row>
        <row r="23">
          <cell r="E23">
            <v>0</v>
          </cell>
          <cell r="H23">
            <v>0.87000000000000011</v>
          </cell>
          <cell r="K23">
            <v>3.5964285714285729</v>
          </cell>
        </row>
        <row r="24">
          <cell r="E24">
            <v>0</v>
          </cell>
          <cell r="H24">
            <v>0.49000000000000021</v>
          </cell>
          <cell r="K24">
            <v>1.0178571428571437</v>
          </cell>
        </row>
        <row r="25">
          <cell r="E25">
            <v>0</v>
          </cell>
          <cell r="H25">
            <v>5.0300000000000011</v>
          </cell>
          <cell r="K25">
            <v>0.74642857142857211</v>
          </cell>
        </row>
        <row r="26">
          <cell r="E26">
            <v>0</v>
          </cell>
          <cell r="H26">
            <v>1.2599999999999998</v>
          </cell>
          <cell r="K26">
            <v>0.88214285714285812</v>
          </cell>
        </row>
        <row r="27">
          <cell r="E27">
            <v>0</v>
          </cell>
          <cell r="H27">
            <v>0.4700000000000002</v>
          </cell>
          <cell r="K27">
            <v>0.33928571428571463</v>
          </cell>
        </row>
        <row r="28">
          <cell r="E28">
            <v>0</v>
          </cell>
          <cell r="H28">
            <v>0.4700000000000002</v>
          </cell>
          <cell r="K28">
            <v>1.5607142857142855</v>
          </cell>
        </row>
        <row r="29">
          <cell r="E29">
            <v>0</v>
          </cell>
          <cell r="H29">
            <v>1.5500000000000003</v>
          </cell>
          <cell r="K29">
            <v>5.632142857142858</v>
          </cell>
        </row>
        <row r="30">
          <cell r="E30">
            <v>0</v>
          </cell>
          <cell r="H30">
            <v>2.3699999999999997</v>
          </cell>
          <cell r="K30">
            <v>0</v>
          </cell>
        </row>
        <row r="31">
          <cell r="E31">
            <v>0</v>
          </cell>
          <cell r="H31">
            <v>1.4700000000000002</v>
          </cell>
          <cell r="K31">
            <v>3.732142857142859</v>
          </cell>
        </row>
        <row r="32">
          <cell r="E32">
            <v>0</v>
          </cell>
          <cell r="H32">
            <v>3.0000000000000027E-2</v>
          </cell>
          <cell r="K32">
            <v>1.5607142857142855</v>
          </cell>
        </row>
        <row r="33">
          <cell r="E33">
            <v>0</v>
          </cell>
          <cell r="H33">
            <v>0.51000000000000023</v>
          </cell>
          <cell r="K33">
            <v>1.1535714285714298</v>
          </cell>
        </row>
        <row r="34">
          <cell r="E34">
            <v>0</v>
          </cell>
          <cell r="H34">
            <v>0</v>
          </cell>
          <cell r="K34">
            <v>0.33928571428571463</v>
          </cell>
        </row>
        <row r="35">
          <cell r="E35">
            <v>0</v>
          </cell>
          <cell r="H35">
            <v>0</v>
          </cell>
          <cell r="K35">
            <v>0</v>
          </cell>
        </row>
        <row r="36">
          <cell r="E36">
            <v>0</v>
          </cell>
          <cell r="H36">
            <v>0</v>
          </cell>
          <cell r="K36">
            <v>0</v>
          </cell>
        </row>
        <row r="37">
          <cell r="E37">
            <v>0</v>
          </cell>
          <cell r="H37">
            <v>0.15000000000000013</v>
          </cell>
          <cell r="K37">
            <v>0</v>
          </cell>
        </row>
        <row r="38">
          <cell r="E38">
            <v>0</v>
          </cell>
          <cell r="H38">
            <v>0</v>
          </cell>
          <cell r="K38">
            <v>0</v>
          </cell>
        </row>
        <row r="39">
          <cell r="E39">
            <v>0</v>
          </cell>
          <cell r="H39">
            <v>0.19000000000000017</v>
          </cell>
          <cell r="K39">
            <v>1.0178571428571437</v>
          </cell>
        </row>
        <row r="40">
          <cell r="E40">
            <v>0</v>
          </cell>
          <cell r="H40">
            <v>0</v>
          </cell>
          <cell r="K40">
            <v>0</v>
          </cell>
        </row>
        <row r="41">
          <cell r="E41">
            <v>0</v>
          </cell>
          <cell r="H41">
            <v>0</v>
          </cell>
          <cell r="K41">
            <v>0</v>
          </cell>
        </row>
        <row r="42">
          <cell r="E42">
            <v>0</v>
          </cell>
          <cell r="H42">
            <v>0</v>
          </cell>
          <cell r="K42">
            <v>0</v>
          </cell>
        </row>
        <row r="43">
          <cell r="E43">
            <v>0</v>
          </cell>
          <cell r="H43">
            <v>0</v>
          </cell>
          <cell r="K43">
            <v>0</v>
          </cell>
        </row>
        <row r="44">
          <cell r="E44">
            <v>0</v>
          </cell>
          <cell r="H44">
            <v>0</v>
          </cell>
          <cell r="K44">
            <v>0</v>
          </cell>
        </row>
        <row r="45">
          <cell r="E45">
            <v>0</v>
          </cell>
          <cell r="H45">
            <v>0</v>
          </cell>
          <cell r="K45">
            <v>0</v>
          </cell>
        </row>
        <row r="46">
          <cell r="E46">
            <v>0</v>
          </cell>
          <cell r="H46">
            <v>0</v>
          </cell>
          <cell r="K46">
            <v>0</v>
          </cell>
        </row>
        <row r="47">
          <cell r="E47">
            <v>0</v>
          </cell>
          <cell r="H47">
            <v>0</v>
          </cell>
          <cell r="K47">
            <v>0</v>
          </cell>
        </row>
        <row r="48">
          <cell r="E48">
            <v>0</v>
          </cell>
          <cell r="H48">
            <v>0</v>
          </cell>
          <cell r="K48">
            <v>0</v>
          </cell>
        </row>
        <row r="49">
          <cell r="E49">
            <v>0</v>
          </cell>
          <cell r="H49">
            <v>0</v>
          </cell>
          <cell r="K49">
            <v>0</v>
          </cell>
        </row>
        <row r="50">
          <cell r="E50">
            <v>0</v>
          </cell>
          <cell r="H50">
            <v>0.40000000000000036</v>
          </cell>
          <cell r="K50">
            <v>0.27142857142857169</v>
          </cell>
        </row>
      </sheetData>
      <sheetData sheetId="4" refreshError="1"/>
      <sheetData sheetId="5">
        <row r="8">
          <cell r="N8">
            <v>31.087639415137232</v>
          </cell>
        </row>
        <row r="9">
          <cell r="N9">
            <v>6.5161125226759253</v>
          </cell>
        </row>
        <row r="10">
          <cell r="N10">
            <v>5.5836558778553664</v>
          </cell>
        </row>
        <row r="11">
          <cell r="N11">
            <v>1.7106674783998361</v>
          </cell>
        </row>
        <row r="12">
          <cell r="N12">
            <v>2.7592197770056948</v>
          </cell>
        </row>
        <row r="13">
          <cell r="N13">
            <v>7.3065020770810412</v>
          </cell>
        </row>
        <row r="14">
          <cell r="N14">
            <v>24.066412184306756</v>
          </cell>
        </row>
        <row r="15">
          <cell r="N15">
            <v>2.8776107928219452</v>
          </cell>
        </row>
        <row r="16">
          <cell r="N16">
            <v>8.0666740719622965</v>
          </cell>
        </row>
        <row r="17">
          <cell r="N17">
            <v>2.639822951958354</v>
          </cell>
        </row>
        <row r="18">
          <cell r="N18">
            <v>1.6378251547965965</v>
          </cell>
        </row>
        <row r="19">
          <cell r="N19">
            <v>0</v>
          </cell>
        </row>
        <row r="20">
          <cell r="N20">
            <v>5.7478576959989685</v>
          </cell>
        </row>
        <row r="32">
          <cell r="N32">
            <v>1.0755882472558831</v>
          </cell>
        </row>
        <row r="33">
          <cell r="N33">
            <v>1.9162766320638933</v>
          </cell>
        </row>
        <row r="34">
          <cell r="N34">
            <v>0.23796899352427442</v>
          </cell>
        </row>
        <row r="35">
          <cell r="N35">
            <v>1.0447576460490791</v>
          </cell>
        </row>
        <row r="36">
          <cell r="N36">
            <v>2.2415210037827955</v>
          </cell>
        </row>
        <row r="37">
          <cell r="N37">
            <v>2.8419905020624037</v>
          </cell>
        </row>
        <row r="38">
          <cell r="N38">
            <v>1.2425573209768117</v>
          </cell>
        </row>
        <row r="39">
          <cell r="N39">
            <v>1.4991080548161511</v>
          </cell>
        </row>
        <row r="43">
          <cell r="N43">
            <v>2.7592197770056948</v>
          </cell>
        </row>
        <row r="44">
          <cell r="N44">
            <v>5.4831301796513046</v>
          </cell>
        </row>
        <row r="45">
          <cell r="N45">
            <v>1.8233718974297373</v>
          </cell>
        </row>
        <row r="46">
          <cell r="N46">
            <v>7.8887294695536987</v>
          </cell>
        </row>
        <row r="47">
          <cell r="N47">
            <v>2.6145068526650137</v>
          </cell>
        </row>
        <row r="48">
          <cell r="N48">
            <v>0.98755964558311293</v>
          </cell>
        </row>
        <row r="49">
          <cell r="N49">
            <v>2.7716841328626423</v>
          </cell>
        </row>
        <row r="50">
          <cell r="N50">
            <v>9.8039320836422856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 1 _ Echant et Séchage"/>
      <sheetName val="F2_hétéroclites primaires"/>
      <sheetName val="F 3 _ Criblage et Tri"/>
      <sheetName val="F 4 TRI _ Granulo"/>
      <sheetName val="F5_synthèse "/>
      <sheetName val="Calcul sous cat &gt;20"/>
    </sheetNames>
    <sheetDataSet>
      <sheetData sheetId="0">
        <row r="5">
          <cell r="D5" t="str">
            <v>ROM-E15-PB-PAR</v>
          </cell>
        </row>
        <row r="6">
          <cell r="D6" t="str">
            <v>869 QCA 75 - Paris 20e</v>
          </cell>
        </row>
        <row r="8">
          <cell r="D8" t="str">
            <v>Romainville</v>
          </cell>
        </row>
        <row r="12">
          <cell r="B12">
            <v>42200</v>
          </cell>
          <cell r="E12" t="str">
            <v>7h50</v>
          </cell>
        </row>
        <row r="15">
          <cell r="E15" t="str">
            <v>sec, ensoleillé</v>
          </cell>
        </row>
        <row r="19">
          <cell r="G19">
            <v>124.60000000000001</v>
          </cell>
        </row>
        <row r="26">
          <cell r="H26">
            <v>0.5</v>
          </cell>
        </row>
        <row r="51">
          <cell r="D51">
            <v>0.3346789727126806</v>
          </cell>
        </row>
      </sheetData>
      <sheetData sheetId="1" refreshError="1"/>
      <sheetData sheetId="2">
        <row r="27">
          <cell r="C27">
            <v>14.5</v>
          </cell>
          <cell r="D27">
            <v>3.76</v>
          </cell>
        </row>
      </sheetData>
      <sheetData sheetId="3">
        <row r="5">
          <cell r="E5">
            <v>0</v>
          </cell>
          <cell r="H5">
            <v>0.27</v>
          </cell>
          <cell r="K5">
            <v>0.31901960784313754</v>
          </cell>
        </row>
        <row r="6">
          <cell r="E6">
            <v>0</v>
          </cell>
          <cell r="H6">
            <v>1.1499999999999999</v>
          </cell>
          <cell r="K6">
            <v>1.8503137254901962</v>
          </cell>
        </row>
        <row r="7">
          <cell r="E7">
            <v>0</v>
          </cell>
          <cell r="H7">
            <v>0</v>
          </cell>
          <cell r="K7">
            <v>0</v>
          </cell>
        </row>
        <row r="8">
          <cell r="E8">
            <v>0</v>
          </cell>
          <cell r="H8">
            <v>0.1100000000000001</v>
          </cell>
          <cell r="K8">
            <v>6.380392156862752E-2</v>
          </cell>
        </row>
        <row r="9">
          <cell r="E9">
            <v>0</v>
          </cell>
          <cell r="H9">
            <v>0</v>
          </cell>
          <cell r="K9">
            <v>0</v>
          </cell>
        </row>
        <row r="10">
          <cell r="E10">
            <v>0</v>
          </cell>
          <cell r="H10">
            <v>0.77</v>
          </cell>
          <cell r="K10">
            <v>0.44662745098039253</v>
          </cell>
        </row>
        <row r="11">
          <cell r="E11">
            <v>0</v>
          </cell>
          <cell r="H11">
            <v>6.9699999999999989</v>
          </cell>
          <cell r="K11">
            <v>0.19141176470588253</v>
          </cell>
        </row>
        <row r="12">
          <cell r="E12">
            <v>0</v>
          </cell>
          <cell r="H12">
            <v>1.35</v>
          </cell>
          <cell r="K12">
            <v>6.380392156862752E-2</v>
          </cell>
        </row>
        <row r="13">
          <cell r="E13">
            <v>0</v>
          </cell>
          <cell r="H13">
            <v>0.15000000000000013</v>
          </cell>
          <cell r="K13">
            <v>0.44662745098039253</v>
          </cell>
        </row>
        <row r="14">
          <cell r="E14">
            <v>0</v>
          </cell>
          <cell r="H14">
            <v>1.0900000000000003</v>
          </cell>
          <cell r="K14">
            <v>0.70184313725490266</v>
          </cell>
        </row>
        <row r="15">
          <cell r="E15">
            <v>0</v>
          </cell>
          <cell r="H15">
            <v>1.29</v>
          </cell>
          <cell r="K15">
            <v>0.95705882352941263</v>
          </cell>
        </row>
        <row r="16">
          <cell r="E16">
            <v>0</v>
          </cell>
          <cell r="H16">
            <v>1.73</v>
          </cell>
          <cell r="K16">
            <v>0.19141176470588253</v>
          </cell>
        </row>
        <row r="17">
          <cell r="E17">
            <v>0</v>
          </cell>
          <cell r="H17">
            <v>0.39000000000000012</v>
          </cell>
          <cell r="K17">
            <v>0</v>
          </cell>
        </row>
        <row r="18">
          <cell r="E18">
            <v>0</v>
          </cell>
          <cell r="H18">
            <v>0.19000000000000017</v>
          </cell>
          <cell r="K18">
            <v>0</v>
          </cell>
        </row>
        <row r="19">
          <cell r="E19">
            <v>0</v>
          </cell>
          <cell r="H19">
            <v>3.0000000000000027E-2</v>
          </cell>
          <cell r="K19">
            <v>0.31901960784313754</v>
          </cell>
        </row>
        <row r="20">
          <cell r="E20">
            <v>0</v>
          </cell>
          <cell r="H20">
            <v>0</v>
          </cell>
          <cell r="K20">
            <v>6.380392156862752E-2</v>
          </cell>
        </row>
        <row r="21">
          <cell r="E21">
            <v>0</v>
          </cell>
          <cell r="H21">
            <v>9.000000000000008E-2</v>
          </cell>
          <cell r="K21">
            <v>0</v>
          </cell>
        </row>
        <row r="22">
          <cell r="E22">
            <v>0.76</v>
          </cell>
          <cell r="H22">
            <v>2.4700000000000002</v>
          </cell>
          <cell r="K22">
            <v>1.4674901960784315</v>
          </cell>
        </row>
        <row r="23">
          <cell r="E23">
            <v>0</v>
          </cell>
          <cell r="H23">
            <v>0.17000000000000015</v>
          </cell>
          <cell r="K23">
            <v>1.5950980392156864</v>
          </cell>
        </row>
        <row r="24">
          <cell r="E24">
            <v>0</v>
          </cell>
          <cell r="H24">
            <v>0.25</v>
          </cell>
          <cell r="K24">
            <v>0.95705882352941263</v>
          </cell>
        </row>
        <row r="25">
          <cell r="E25">
            <v>0</v>
          </cell>
          <cell r="H25">
            <v>3.03</v>
          </cell>
          <cell r="K25">
            <v>0.82945098039215759</v>
          </cell>
        </row>
        <row r="26">
          <cell r="E26">
            <v>0</v>
          </cell>
          <cell r="H26">
            <v>0.66000000000000014</v>
          </cell>
          <cell r="K26">
            <v>0.31901960784313754</v>
          </cell>
        </row>
        <row r="27">
          <cell r="E27">
            <v>0</v>
          </cell>
          <cell r="H27">
            <v>5.0000000000000044E-2</v>
          </cell>
          <cell r="K27">
            <v>0</v>
          </cell>
        </row>
        <row r="28">
          <cell r="E28">
            <v>0</v>
          </cell>
          <cell r="H28">
            <v>0.82000000000000028</v>
          </cell>
          <cell r="K28">
            <v>1.7227058823529413</v>
          </cell>
        </row>
        <row r="29">
          <cell r="E29">
            <v>0</v>
          </cell>
          <cell r="H29">
            <v>0.43000000000000016</v>
          </cell>
          <cell r="K29">
            <v>1.5950980392156864</v>
          </cell>
        </row>
        <row r="30">
          <cell r="E30">
            <v>0.16</v>
          </cell>
          <cell r="H30">
            <v>0.89000000000000012</v>
          </cell>
          <cell r="K30">
            <v>4.0196470588235291</v>
          </cell>
        </row>
        <row r="31">
          <cell r="E31">
            <v>0</v>
          </cell>
          <cell r="H31">
            <v>3.11</v>
          </cell>
          <cell r="K31">
            <v>12.314156862745101</v>
          </cell>
        </row>
        <row r="32">
          <cell r="E32">
            <v>0</v>
          </cell>
          <cell r="H32">
            <v>0</v>
          </cell>
          <cell r="K32">
            <v>6.380392156862752E-2</v>
          </cell>
        </row>
        <row r="33">
          <cell r="E33">
            <v>1.5</v>
          </cell>
          <cell r="H33">
            <v>0.29000000000000004</v>
          </cell>
          <cell r="K33">
            <v>0.70184313725490266</v>
          </cell>
        </row>
        <row r="34">
          <cell r="E34">
            <v>0</v>
          </cell>
          <cell r="H34">
            <v>5.0000000000000044E-2</v>
          </cell>
          <cell r="K34">
            <v>0.19141176470588253</v>
          </cell>
        </row>
        <row r="35">
          <cell r="E35">
            <v>0</v>
          </cell>
          <cell r="H35">
            <v>0</v>
          </cell>
          <cell r="K35">
            <v>0</v>
          </cell>
        </row>
        <row r="36">
          <cell r="E36">
            <v>0</v>
          </cell>
          <cell r="H36">
            <v>0</v>
          </cell>
          <cell r="K36">
            <v>0</v>
          </cell>
        </row>
        <row r="37">
          <cell r="E37">
            <v>0</v>
          </cell>
          <cell r="H37">
            <v>0.25</v>
          </cell>
          <cell r="K37">
            <v>6.380392156862752E-2</v>
          </cell>
        </row>
        <row r="38">
          <cell r="E38">
            <v>0</v>
          </cell>
          <cell r="H38">
            <v>0</v>
          </cell>
          <cell r="K38">
            <v>0</v>
          </cell>
        </row>
        <row r="39">
          <cell r="E39">
            <v>0</v>
          </cell>
          <cell r="H39">
            <v>0.71</v>
          </cell>
          <cell r="K39">
            <v>1.4674901960784315</v>
          </cell>
        </row>
        <row r="40">
          <cell r="E40">
            <v>0</v>
          </cell>
          <cell r="H40">
            <v>6.0000000000000053E-2</v>
          </cell>
          <cell r="K40">
            <v>0</v>
          </cell>
        </row>
        <row r="41">
          <cell r="E41">
            <v>0</v>
          </cell>
          <cell r="H41">
            <v>0</v>
          </cell>
          <cell r="K41">
            <v>0</v>
          </cell>
        </row>
        <row r="42">
          <cell r="E42">
            <v>0</v>
          </cell>
          <cell r="H42">
            <v>0</v>
          </cell>
          <cell r="K42">
            <v>0</v>
          </cell>
        </row>
        <row r="43">
          <cell r="E43">
            <v>0</v>
          </cell>
          <cell r="H43">
            <v>0</v>
          </cell>
          <cell r="K43">
            <v>0</v>
          </cell>
        </row>
        <row r="44">
          <cell r="E44">
            <v>0</v>
          </cell>
          <cell r="H44">
            <v>0</v>
          </cell>
          <cell r="K44">
            <v>0</v>
          </cell>
        </row>
        <row r="45">
          <cell r="E45">
            <v>0</v>
          </cell>
          <cell r="H45">
            <v>0</v>
          </cell>
          <cell r="K45">
            <v>0</v>
          </cell>
        </row>
        <row r="46">
          <cell r="E46">
            <v>0</v>
          </cell>
          <cell r="H46">
            <v>0</v>
          </cell>
          <cell r="K46">
            <v>0</v>
          </cell>
        </row>
        <row r="47">
          <cell r="E47">
            <v>0</v>
          </cell>
          <cell r="H47">
            <v>0</v>
          </cell>
          <cell r="K47">
            <v>0</v>
          </cell>
        </row>
        <row r="48">
          <cell r="E48">
            <v>0</v>
          </cell>
          <cell r="H48">
            <v>0</v>
          </cell>
          <cell r="K48">
            <v>0</v>
          </cell>
        </row>
        <row r="49">
          <cell r="E49">
            <v>0</v>
          </cell>
          <cell r="H49">
            <v>0</v>
          </cell>
          <cell r="K49">
            <v>0</v>
          </cell>
        </row>
        <row r="50">
          <cell r="E50">
            <v>0</v>
          </cell>
          <cell r="H50">
            <v>0.45999999999999996</v>
          </cell>
          <cell r="K50">
            <v>0</v>
          </cell>
        </row>
      </sheetData>
      <sheetData sheetId="4" refreshError="1"/>
      <sheetData sheetId="5">
        <row r="8">
          <cell r="N8">
            <v>11.439580058815046</v>
          </cell>
        </row>
        <row r="9">
          <cell r="N9">
            <v>15.137880644288808</v>
          </cell>
        </row>
        <row r="10">
          <cell r="N10">
            <v>5.666202804337364</v>
          </cell>
        </row>
        <row r="11">
          <cell r="N11">
            <v>1.0837388019719867</v>
          </cell>
        </row>
        <row r="12">
          <cell r="N12">
            <v>5.8329386189174803</v>
          </cell>
        </row>
        <row r="13">
          <cell r="N13">
            <v>3.8012429271180919</v>
          </cell>
        </row>
        <row r="14">
          <cell r="N14">
            <v>13.248679073301624</v>
          </cell>
        </row>
        <row r="15">
          <cell r="N15">
            <v>6.4288170461475342</v>
          </cell>
        </row>
        <row r="16">
          <cell r="N16">
            <v>19.204338922397909</v>
          </cell>
        </row>
        <row r="17">
          <cell r="N17">
            <v>3.9016891453168472</v>
          </cell>
        </row>
        <row r="18">
          <cell r="N18">
            <v>3.0833117724698611</v>
          </cell>
        </row>
        <row r="19">
          <cell r="N19">
            <v>7.5967614862863006E-2</v>
          </cell>
        </row>
        <row r="20">
          <cell r="N20">
            <v>11.095612570054575</v>
          </cell>
        </row>
        <row r="32">
          <cell r="N32">
            <v>1.551277683087096</v>
          </cell>
        </row>
        <row r="33">
          <cell r="N33">
            <v>8.8247816080699657</v>
          </cell>
        </row>
        <row r="34">
          <cell r="N34">
            <v>1.7421859340591104</v>
          </cell>
        </row>
        <row r="35">
          <cell r="N35">
            <v>0.7424610070395582</v>
          </cell>
        </row>
        <row r="36">
          <cell r="N36">
            <v>2.2771744120330792</v>
          </cell>
        </row>
        <row r="37">
          <cell r="N37">
            <v>2.7869346055491584</v>
          </cell>
        </row>
        <row r="38">
          <cell r="N38">
            <v>2.3852805891694606</v>
          </cell>
        </row>
        <row r="39">
          <cell r="N39">
            <v>0.49398760961874549</v>
          </cell>
        </row>
        <row r="43">
          <cell r="N43">
            <v>5.8329386189174803</v>
          </cell>
        </row>
        <row r="44">
          <cell r="N44">
            <v>2.2715549270034789</v>
          </cell>
        </row>
        <row r="45">
          <cell r="N45">
            <v>1.5296880001146127</v>
          </cell>
        </row>
        <row r="46">
          <cell r="N46">
            <v>5.4720081437779369</v>
          </cell>
        </row>
        <row r="47">
          <cell r="N47">
            <v>1.2404991165484389</v>
          </cell>
        </row>
        <row r="48">
          <cell r="N48">
            <v>6.3342268481142439E-2</v>
          </cell>
        </row>
        <row r="49">
          <cell r="N49">
            <v>3.602961617137673</v>
          </cell>
        </row>
        <row r="50">
          <cell r="N50">
            <v>2.8698679273564318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 1 _ Echant et Séchage"/>
      <sheetName val="F2_hétéroclites primaires"/>
      <sheetName val="F 3 _ Criblage et Tri"/>
      <sheetName val="F 4 TRI _ Granulo"/>
      <sheetName val="F5_synthèse "/>
      <sheetName val="Calcul sous cat &gt;20"/>
    </sheetNames>
    <sheetDataSet>
      <sheetData sheetId="0">
        <row r="5">
          <cell r="D5" t="str">
            <v>STO-E15-PB-BAN</v>
          </cell>
        </row>
        <row r="6">
          <cell r="D6" t="str">
            <v>CD 387 GW LEVALLOIS</v>
          </cell>
        </row>
        <row r="8">
          <cell r="D8" t="str">
            <v>SAINT OUEN</v>
          </cell>
        </row>
        <row r="12">
          <cell r="B12">
            <v>42201</v>
          </cell>
          <cell r="E12" t="str">
            <v>22H00</v>
          </cell>
        </row>
        <row r="15">
          <cell r="E15" t="str">
            <v>sec, ensoleillé</v>
          </cell>
        </row>
        <row r="19">
          <cell r="G19">
            <v>127</v>
          </cell>
        </row>
        <row r="26">
          <cell r="H26">
            <v>450</v>
          </cell>
        </row>
        <row r="51">
          <cell r="D51">
            <v>0.38456692913385832</v>
          </cell>
        </row>
      </sheetData>
      <sheetData sheetId="1" refreshError="1"/>
      <sheetData sheetId="2">
        <row r="27">
          <cell r="C27">
            <v>3.1400000000000006</v>
          </cell>
          <cell r="D27">
            <v>3.0600000000000005</v>
          </cell>
        </row>
      </sheetData>
      <sheetData sheetId="3">
        <row r="5">
          <cell r="E5">
            <v>0</v>
          </cell>
          <cell r="H5">
            <v>9.000000000000008E-2</v>
          </cell>
          <cell r="K5">
            <v>3.2851209677419364</v>
          </cell>
        </row>
        <row r="6">
          <cell r="E6">
            <v>0</v>
          </cell>
          <cell r="H6">
            <v>5.0000000000000044E-2</v>
          </cell>
          <cell r="K6">
            <v>3.1166532258064521</v>
          </cell>
        </row>
        <row r="7">
          <cell r="E7">
            <v>0</v>
          </cell>
          <cell r="H7">
            <v>0</v>
          </cell>
          <cell r="K7">
            <v>0</v>
          </cell>
        </row>
        <row r="8">
          <cell r="E8">
            <v>0</v>
          </cell>
          <cell r="H8">
            <v>1.0000000000000009E-2</v>
          </cell>
          <cell r="K8">
            <v>0</v>
          </cell>
        </row>
        <row r="9">
          <cell r="E9">
            <v>0</v>
          </cell>
          <cell r="H9">
            <v>0</v>
          </cell>
          <cell r="K9">
            <v>0</v>
          </cell>
        </row>
        <row r="10">
          <cell r="E10">
            <v>0</v>
          </cell>
          <cell r="H10">
            <v>0.57000000000000028</v>
          </cell>
          <cell r="K10">
            <v>0.58963709677419396</v>
          </cell>
        </row>
        <row r="11">
          <cell r="E11">
            <v>0</v>
          </cell>
          <cell r="H11">
            <v>6.4799999999999986</v>
          </cell>
          <cell r="K11">
            <v>0.75810483870967804</v>
          </cell>
        </row>
        <row r="12">
          <cell r="E12">
            <v>0</v>
          </cell>
          <cell r="H12">
            <v>0.51000000000000023</v>
          </cell>
          <cell r="K12">
            <v>0.42116935483871004</v>
          </cell>
        </row>
        <row r="13">
          <cell r="E13">
            <v>0</v>
          </cell>
          <cell r="H13">
            <v>3.1300000000000003</v>
          </cell>
          <cell r="K13">
            <v>3.7905241935483884</v>
          </cell>
        </row>
        <row r="14">
          <cell r="E14">
            <v>0</v>
          </cell>
          <cell r="H14">
            <v>0.66999999999999993</v>
          </cell>
          <cell r="K14">
            <v>1.6004435483870978</v>
          </cell>
        </row>
        <row r="15">
          <cell r="E15">
            <v>0</v>
          </cell>
          <cell r="H15">
            <v>1.9300000000000002</v>
          </cell>
          <cell r="K15">
            <v>4.4643951612903239</v>
          </cell>
        </row>
        <row r="16">
          <cell r="E16">
            <v>0</v>
          </cell>
          <cell r="H16">
            <v>3.52</v>
          </cell>
          <cell r="K16">
            <v>0</v>
          </cell>
        </row>
        <row r="17">
          <cell r="E17">
            <v>0</v>
          </cell>
          <cell r="H17">
            <v>0</v>
          </cell>
          <cell r="K17">
            <v>0</v>
          </cell>
        </row>
        <row r="18">
          <cell r="E18">
            <v>0</v>
          </cell>
          <cell r="H18">
            <v>0.39000000000000012</v>
          </cell>
          <cell r="K18">
            <v>0.75810483870967804</v>
          </cell>
        </row>
        <row r="19">
          <cell r="E19">
            <v>0</v>
          </cell>
          <cell r="H19">
            <v>7.0000000000000062E-2</v>
          </cell>
          <cell r="K19">
            <v>1.4319758064516139</v>
          </cell>
        </row>
        <row r="20">
          <cell r="E20">
            <v>0</v>
          </cell>
          <cell r="H20">
            <v>0</v>
          </cell>
          <cell r="K20">
            <v>0</v>
          </cell>
        </row>
        <row r="21">
          <cell r="E21">
            <v>0</v>
          </cell>
          <cell r="H21">
            <v>0</v>
          </cell>
          <cell r="K21">
            <v>0</v>
          </cell>
        </row>
        <row r="22">
          <cell r="E22">
            <v>0</v>
          </cell>
          <cell r="H22">
            <v>0.81</v>
          </cell>
          <cell r="K22">
            <v>0.25270161290322601</v>
          </cell>
        </row>
        <row r="23">
          <cell r="E23">
            <v>0</v>
          </cell>
          <cell r="H23">
            <v>0.27</v>
          </cell>
          <cell r="K23">
            <v>0.42116935483871004</v>
          </cell>
        </row>
        <row r="24">
          <cell r="E24">
            <v>0</v>
          </cell>
          <cell r="H24">
            <v>0.1100000000000001</v>
          </cell>
          <cell r="K24">
            <v>4.9697983870967759</v>
          </cell>
        </row>
        <row r="25">
          <cell r="E25">
            <v>0</v>
          </cell>
          <cell r="H25">
            <v>5.8900000000000006</v>
          </cell>
          <cell r="K25">
            <v>2.6112500000000001</v>
          </cell>
        </row>
        <row r="26">
          <cell r="E26">
            <v>0</v>
          </cell>
          <cell r="H26">
            <v>1.5200000000000005</v>
          </cell>
          <cell r="K26">
            <v>1.6004435483870978</v>
          </cell>
        </row>
        <row r="27">
          <cell r="E27">
            <v>0</v>
          </cell>
          <cell r="H27">
            <v>0.55000000000000027</v>
          </cell>
          <cell r="K27">
            <v>0.9265725806451619</v>
          </cell>
        </row>
        <row r="28">
          <cell r="E28">
            <v>0</v>
          </cell>
          <cell r="H28">
            <v>1.0300000000000002</v>
          </cell>
          <cell r="K28">
            <v>3.9589919354838718</v>
          </cell>
        </row>
        <row r="29">
          <cell r="E29">
            <v>0</v>
          </cell>
          <cell r="H29">
            <v>1.23</v>
          </cell>
          <cell r="K29">
            <v>2.2743145161290323</v>
          </cell>
        </row>
        <row r="30">
          <cell r="E30">
            <v>0</v>
          </cell>
          <cell r="H30">
            <v>0.55000000000000027</v>
          </cell>
          <cell r="K30">
            <v>0.42116935483871004</v>
          </cell>
        </row>
        <row r="31">
          <cell r="E31">
            <v>0</v>
          </cell>
          <cell r="H31">
            <v>0.45000000000000018</v>
          </cell>
          <cell r="K31">
            <v>1.2635080645161301</v>
          </cell>
        </row>
        <row r="32">
          <cell r="E32">
            <v>0</v>
          </cell>
          <cell r="H32">
            <v>5.0000000000000044E-2</v>
          </cell>
          <cell r="K32">
            <v>0.9265725806451619</v>
          </cell>
        </row>
        <row r="33">
          <cell r="E33">
            <v>0</v>
          </cell>
          <cell r="H33">
            <v>0.69</v>
          </cell>
          <cell r="K33">
            <v>1.2635080645161301</v>
          </cell>
        </row>
        <row r="34">
          <cell r="E34">
            <v>0</v>
          </cell>
          <cell r="H34">
            <v>0</v>
          </cell>
          <cell r="K34">
            <v>0.75810483870967804</v>
          </cell>
        </row>
        <row r="35">
          <cell r="E35">
            <v>0</v>
          </cell>
          <cell r="H35">
            <v>0</v>
          </cell>
          <cell r="K35">
            <v>0</v>
          </cell>
        </row>
        <row r="36">
          <cell r="E36">
            <v>0</v>
          </cell>
          <cell r="H36">
            <v>0</v>
          </cell>
          <cell r="K36">
            <v>0</v>
          </cell>
        </row>
        <row r="37">
          <cell r="E37">
            <v>0</v>
          </cell>
          <cell r="H37">
            <v>0.60999999999999988</v>
          </cell>
          <cell r="K37">
            <v>0</v>
          </cell>
        </row>
        <row r="38">
          <cell r="E38">
            <v>0</v>
          </cell>
          <cell r="H38">
            <v>1.0000000000000009E-2</v>
          </cell>
          <cell r="K38">
            <v>0</v>
          </cell>
        </row>
        <row r="39">
          <cell r="E39">
            <v>0</v>
          </cell>
          <cell r="H39">
            <v>1.0000000000000009E-2</v>
          </cell>
          <cell r="K39">
            <v>0.25270161290322601</v>
          </cell>
        </row>
        <row r="40">
          <cell r="E40">
            <v>0</v>
          </cell>
          <cell r="H40">
            <v>0</v>
          </cell>
          <cell r="K40">
            <v>0</v>
          </cell>
        </row>
        <row r="41">
          <cell r="E41">
            <v>0</v>
          </cell>
          <cell r="H41">
            <v>0</v>
          </cell>
          <cell r="K41">
            <v>0</v>
          </cell>
        </row>
        <row r="42">
          <cell r="E42">
            <v>0</v>
          </cell>
          <cell r="H42">
            <v>0.10000000000000009</v>
          </cell>
          <cell r="K42">
            <v>0</v>
          </cell>
        </row>
        <row r="43">
          <cell r="E43">
            <v>0</v>
          </cell>
          <cell r="H43">
            <v>0</v>
          </cell>
          <cell r="K43">
            <v>0</v>
          </cell>
        </row>
        <row r="44">
          <cell r="E44">
            <v>0</v>
          </cell>
          <cell r="H44">
            <v>0</v>
          </cell>
          <cell r="K44">
            <v>0</v>
          </cell>
        </row>
        <row r="45">
          <cell r="E45">
            <v>0</v>
          </cell>
          <cell r="H45">
            <v>0</v>
          </cell>
          <cell r="K45">
            <v>0</v>
          </cell>
        </row>
        <row r="46">
          <cell r="E46">
            <v>0</v>
          </cell>
          <cell r="H46">
            <v>0</v>
          </cell>
          <cell r="K46">
            <v>0</v>
          </cell>
        </row>
        <row r="47">
          <cell r="E47">
            <v>0</v>
          </cell>
          <cell r="H47">
            <v>0</v>
          </cell>
          <cell r="K47">
            <v>0</v>
          </cell>
        </row>
        <row r="48">
          <cell r="E48">
            <v>0</v>
          </cell>
          <cell r="H48">
            <v>0</v>
          </cell>
          <cell r="K48">
            <v>0</v>
          </cell>
        </row>
        <row r="49">
          <cell r="E49">
            <v>0</v>
          </cell>
          <cell r="H49">
            <v>0</v>
          </cell>
          <cell r="K49">
            <v>0</v>
          </cell>
        </row>
        <row r="50">
          <cell r="E50">
            <v>0</v>
          </cell>
          <cell r="H50">
            <v>0.36000000000000032</v>
          </cell>
          <cell r="K50">
            <v>1.6846774193548402</v>
          </cell>
        </row>
      </sheetData>
      <sheetData sheetId="4" refreshError="1"/>
      <sheetData sheetId="5">
        <row r="8">
          <cell r="N8">
            <v>17.56683193652087</v>
          </cell>
        </row>
        <row r="9">
          <cell r="N9">
            <v>20.318869299205669</v>
          </cell>
        </row>
        <row r="10">
          <cell r="N10">
            <v>10.878955531693682</v>
          </cell>
        </row>
        <row r="11">
          <cell r="N11">
            <v>3.6597821397625365</v>
          </cell>
        </row>
        <row r="12">
          <cell r="N12">
            <v>1.165002768358103</v>
          </cell>
        </row>
        <row r="13">
          <cell r="N13">
            <v>6.5104609187230196</v>
          </cell>
        </row>
        <row r="14">
          <cell r="N14">
            <v>26.706364795958315</v>
          </cell>
        </row>
        <row r="15">
          <cell r="N15">
            <v>1.0872611246940307</v>
          </cell>
        </row>
        <row r="16">
          <cell r="N16">
            <v>2.9452861575480132</v>
          </cell>
        </row>
        <row r="17">
          <cell r="N17">
            <v>3.766608157147262</v>
          </cell>
        </row>
        <row r="18">
          <cell r="N18">
            <v>0.32843546500400556</v>
          </cell>
        </row>
        <row r="19">
          <cell r="N19">
            <v>0.11179744104326636</v>
          </cell>
        </row>
        <row r="20">
          <cell r="N20">
            <v>4.9543442643412501</v>
          </cell>
        </row>
        <row r="32">
          <cell r="N32">
            <v>1.3054837519285276</v>
          </cell>
        </row>
        <row r="33">
          <cell r="N33">
            <v>7.8649003764615477</v>
          </cell>
        </row>
        <row r="34">
          <cell r="N34">
            <v>1.011805489505176</v>
          </cell>
        </row>
        <row r="35">
          <cell r="N35">
            <v>7.5926436112455988</v>
          </cell>
        </row>
        <row r="36">
          <cell r="N36">
            <v>2.5440360700648208</v>
          </cell>
        </row>
        <row r="37">
          <cell r="N37">
            <v>7.013188601801116</v>
          </cell>
        </row>
        <row r="38">
          <cell r="N38">
            <v>3.865766929892565</v>
          </cell>
        </row>
        <row r="39">
          <cell r="N39">
            <v>0</v>
          </cell>
        </row>
        <row r="43">
          <cell r="N43">
            <v>1.165002768358103</v>
          </cell>
        </row>
        <row r="44">
          <cell r="N44">
            <v>0.79476684291102673</v>
          </cell>
        </row>
        <row r="45">
          <cell r="N45">
            <v>5.7156940758119932</v>
          </cell>
        </row>
        <row r="46">
          <cell r="N46">
            <v>10.763179921364072</v>
          </cell>
        </row>
        <row r="47">
          <cell r="N47">
            <v>3.5289333212174583</v>
          </cell>
        </row>
        <row r="48">
          <cell r="N48">
            <v>1.6694224720089628</v>
          </cell>
        </row>
        <row r="49">
          <cell r="N49">
            <v>6.3110970407981055</v>
          </cell>
        </row>
        <row r="50">
          <cell r="N50">
            <v>4.4337320405697174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 1 _ Echant et Séchage"/>
      <sheetName val="F2_hétéroclites primaires"/>
      <sheetName val="F 3 _ Criblage et Tri"/>
      <sheetName val="F 4 TRI _ Granulo"/>
      <sheetName val="F5_synthèse "/>
      <sheetName val="Calcul sous cat &gt;20"/>
    </sheetNames>
    <sheetDataSet>
      <sheetData sheetId="0">
        <row r="5">
          <cell r="D5" t="str">
            <v>STO-E15-PB-PAR</v>
          </cell>
        </row>
        <row r="6">
          <cell r="D6" t="str">
            <v>DK 399 CY - 18E ARRDT</v>
          </cell>
        </row>
        <row r="8">
          <cell r="D8" t="str">
            <v>SAINT OUEN</v>
          </cell>
        </row>
        <row r="12">
          <cell r="B12">
            <v>42201</v>
          </cell>
          <cell r="E12" t="str">
            <v>19H10</v>
          </cell>
        </row>
        <row r="15">
          <cell r="E15" t="str">
            <v>sec, ensoleillé</v>
          </cell>
        </row>
        <row r="19">
          <cell r="G19">
            <v>129.1</v>
          </cell>
        </row>
        <row r="26">
          <cell r="H26">
            <v>450</v>
          </cell>
        </row>
        <row r="51">
          <cell r="D51">
            <v>0.40505034856700223</v>
          </cell>
        </row>
      </sheetData>
      <sheetData sheetId="1" refreshError="1"/>
      <sheetData sheetId="2">
        <row r="27">
          <cell r="C27">
            <v>4.08</v>
          </cell>
          <cell r="D27">
            <v>4.4800000000000004</v>
          </cell>
        </row>
      </sheetData>
      <sheetData sheetId="3">
        <row r="5">
          <cell r="E5">
            <v>0</v>
          </cell>
          <cell r="H5">
            <v>0</v>
          </cell>
          <cell r="K5">
            <v>0.30433333333333362</v>
          </cell>
        </row>
        <row r="6">
          <cell r="E6">
            <v>0</v>
          </cell>
          <cell r="H6">
            <v>0.27</v>
          </cell>
          <cell r="K6">
            <v>1.3556666666666675</v>
          </cell>
        </row>
        <row r="7">
          <cell r="E7">
            <v>0</v>
          </cell>
          <cell r="H7">
            <v>0</v>
          </cell>
          <cell r="K7">
            <v>0</v>
          </cell>
        </row>
        <row r="8">
          <cell r="E8">
            <v>0</v>
          </cell>
          <cell r="H8">
            <v>0</v>
          </cell>
          <cell r="K8">
            <v>2.766666666666669E-2</v>
          </cell>
        </row>
        <row r="9">
          <cell r="E9">
            <v>0</v>
          </cell>
          <cell r="H9">
            <v>0</v>
          </cell>
          <cell r="K9">
            <v>0</v>
          </cell>
        </row>
        <row r="10">
          <cell r="E10">
            <v>0</v>
          </cell>
          <cell r="H10">
            <v>0.43000000000000016</v>
          </cell>
          <cell r="K10">
            <v>0</v>
          </cell>
        </row>
        <row r="11">
          <cell r="E11">
            <v>0</v>
          </cell>
          <cell r="H11">
            <v>0.17000000000000015</v>
          </cell>
          <cell r="K11">
            <v>0.52566666666666717</v>
          </cell>
        </row>
        <row r="12">
          <cell r="E12">
            <v>0</v>
          </cell>
          <cell r="H12">
            <v>0</v>
          </cell>
          <cell r="K12">
            <v>0</v>
          </cell>
        </row>
        <row r="13">
          <cell r="E13">
            <v>0</v>
          </cell>
          <cell r="H13">
            <v>0.4700000000000002</v>
          </cell>
          <cell r="K13">
            <v>0.35966666666666702</v>
          </cell>
        </row>
        <row r="14">
          <cell r="E14">
            <v>1.96</v>
          </cell>
          <cell r="H14">
            <v>0.60999999999999988</v>
          </cell>
          <cell r="K14">
            <v>0.13833333333333347</v>
          </cell>
        </row>
        <row r="15">
          <cell r="E15">
            <v>0</v>
          </cell>
          <cell r="H15">
            <v>1.1299999999999999</v>
          </cell>
          <cell r="K15">
            <v>0.19366666666666682</v>
          </cell>
        </row>
        <row r="16">
          <cell r="E16">
            <v>1.58</v>
          </cell>
          <cell r="H16">
            <v>0.95000000000000018</v>
          </cell>
          <cell r="K16">
            <v>0.19366666666666682</v>
          </cell>
        </row>
        <row r="17">
          <cell r="E17">
            <v>0</v>
          </cell>
          <cell r="H17">
            <v>7.0000000000000062E-2</v>
          </cell>
          <cell r="K17">
            <v>8.3000000000000074E-2</v>
          </cell>
        </row>
        <row r="18">
          <cell r="E18">
            <v>0</v>
          </cell>
          <cell r="H18">
            <v>0.17000000000000015</v>
          </cell>
          <cell r="K18">
            <v>0</v>
          </cell>
        </row>
        <row r="19">
          <cell r="E19">
            <v>0</v>
          </cell>
          <cell r="H19">
            <v>0</v>
          </cell>
          <cell r="K19">
            <v>8.3000000000000074E-2</v>
          </cell>
        </row>
        <row r="20">
          <cell r="E20">
            <v>0</v>
          </cell>
          <cell r="H20">
            <v>0</v>
          </cell>
          <cell r="K20">
            <v>0</v>
          </cell>
        </row>
        <row r="21">
          <cell r="E21">
            <v>0</v>
          </cell>
          <cell r="H21">
            <v>0</v>
          </cell>
          <cell r="K21">
            <v>0</v>
          </cell>
        </row>
        <row r="22">
          <cell r="E22">
            <v>0.84</v>
          </cell>
          <cell r="H22">
            <v>1.75</v>
          </cell>
          <cell r="K22">
            <v>2.766666666666669E-2</v>
          </cell>
        </row>
        <row r="23">
          <cell r="E23">
            <v>0</v>
          </cell>
          <cell r="H23">
            <v>2.33</v>
          </cell>
          <cell r="K23">
            <v>0.47033333333333371</v>
          </cell>
        </row>
        <row r="24">
          <cell r="E24">
            <v>0</v>
          </cell>
          <cell r="H24">
            <v>0.17000000000000015</v>
          </cell>
          <cell r="K24">
            <v>1.0790000000000004</v>
          </cell>
        </row>
        <row r="25">
          <cell r="E25">
            <v>0</v>
          </cell>
          <cell r="H25">
            <v>3.7299999999999991</v>
          </cell>
          <cell r="K25">
            <v>0.24900000000000022</v>
          </cell>
        </row>
        <row r="26">
          <cell r="E26">
            <v>0</v>
          </cell>
          <cell r="H26">
            <v>1.2000000000000002</v>
          </cell>
          <cell r="K26">
            <v>0.80233333333333345</v>
          </cell>
        </row>
        <row r="27">
          <cell r="E27">
            <v>0</v>
          </cell>
          <cell r="H27">
            <v>0.57000000000000028</v>
          </cell>
          <cell r="K27">
            <v>0.747</v>
          </cell>
        </row>
        <row r="28">
          <cell r="E28">
            <v>0</v>
          </cell>
          <cell r="H28">
            <v>0.89000000000000012</v>
          </cell>
          <cell r="K28">
            <v>0.9683333333333336</v>
          </cell>
        </row>
        <row r="29">
          <cell r="E29">
            <v>0.24</v>
          </cell>
          <cell r="H29">
            <v>1.27</v>
          </cell>
          <cell r="K29">
            <v>0.41500000000000042</v>
          </cell>
        </row>
        <row r="30">
          <cell r="E30">
            <v>0.54</v>
          </cell>
          <cell r="H30">
            <v>0.21000000000000019</v>
          </cell>
          <cell r="K30">
            <v>0</v>
          </cell>
        </row>
        <row r="31">
          <cell r="E31">
            <v>0</v>
          </cell>
          <cell r="H31">
            <v>2.6300000000000003</v>
          </cell>
          <cell r="K31">
            <v>3.7350000000000003</v>
          </cell>
        </row>
        <row r="32">
          <cell r="E32">
            <v>0</v>
          </cell>
          <cell r="H32">
            <v>0.43000000000000016</v>
          </cell>
          <cell r="K32">
            <v>1.1343333333333336</v>
          </cell>
        </row>
        <row r="33">
          <cell r="E33">
            <v>0</v>
          </cell>
          <cell r="H33">
            <v>1.0000000000000009E-2</v>
          </cell>
          <cell r="K33">
            <v>0.52566666666666717</v>
          </cell>
        </row>
        <row r="34">
          <cell r="E34">
            <v>0</v>
          </cell>
          <cell r="H34">
            <v>1.0000000000000009E-2</v>
          </cell>
          <cell r="K34">
            <v>0.47033333333333371</v>
          </cell>
        </row>
        <row r="35">
          <cell r="E35">
            <v>0</v>
          </cell>
          <cell r="H35">
            <v>0</v>
          </cell>
          <cell r="K35">
            <v>0</v>
          </cell>
        </row>
        <row r="36">
          <cell r="E36">
            <v>0</v>
          </cell>
          <cell r="H36">
            <v>0</v>
          </cell>
          <cell r="K36">
            <v>0</v>
          </cell>
        </row>
        <row r="37">
          <cell r="E37">
            <v>0.74</v>
          </cell>
          <cell r="H37">
            <v>0.19000000000000017</v>
          </cell>
          <cell r="K37">
            <v>1.3833333333333654E-2</v>
          </cell>
        </row>
        <row r="38">
          <cell r="E38">
            <v>0</v>
          </cell>
          <cell r="H38">
            <v>0</v>
          </cell>
          <cell r="K38">
            <v>0</v>
          </cell>
        </row>
        <row r="39">
          <cell r="E39">
            <v>0</v>
          </cell>
          <cell r="H39">
            <v>2.23</v>
          </cell>
          <cell r="K39">
            <v>0.19366666666666682</v>
          </cell>
        </row>
        <row r="40">
          <cell r="E40">
            <v>0</v>
          </cell>
          <cell r="H40">
            <v>8.0000000000000071E-2</v>
          </cell>
          <cell r="K40">
            <v>0</v>
          </cell>
        </row>
        <row r="41">
          <cell r="E41">
            <v>0</v>
          </cell>
          <cell r="H41">
            <v>0</v>
          </cell>
          <cell r="K41">
            <v>0</v>
          </cell>
        </row>
        <row r="42">
          <cell r="E42">
            <v>0</v>
          </cell>
          <cell r="H42">
            <v>0</v>
          </cell>
          <cell r="K42">
            <v>0.49799999999999983</v>
          </cell>
        </row>
        <row r="43">
          <cell r="E43">
            <v>0</v>
          </cell>
          <cell r="H43">
            <v>0</v>
          </cell>
          <cell r="K43">
            <v>0</v>
          </cell>
        </row>
        <row r="44">
          <cell r="E44">
            <v>0</v>
          </cell>
          <cell r="H44">
            <v>0</v>
          </cell>
          <cell r="K44">
            <v>0</v>
          </cell>
        </row>
        <row r="45">
          <cell r="E45">
            <v>0</v>
          </cell>
          <cell r="H45">
            <v>0</v>
          </cell>
          <cell r="K45">
            <v>0</v>
          </cell>
        </row>
        <row r="46">
          <cell r="E46">
            <v>0</v>
          </cell>
          <cell r="H46">
            <v>0</v>
          </cell>
          <cell r="K46">
            <v>0</v>
          </cell>
        </row>
        <row r="47">
          <cell r="E47">
            <v>0</v>
          </cell>
          <cell r="H47">
            <v>0</v>
          </cell>
          <cell r="K47">
            <v>0</v>
          </cell>
        </row>
        <row r="48">
          <cell r="E48">
            <v>0</v>
          </cell>
          <cell r="H48">
            <v>0</v>
          </cell>
          <cell r="K48">
            <v>0</v>
          </cell>
        </row>
        <row r="49">
          <cell r="E49">
            <v>0</v>
          </cell>
          <cell r="H49">
            <v>0</v>
          </cell>
          <cell r="K49">
            <v>0</v>
          </cell>
        </row>
        <row r="50">
          <cell r="E50">
            <v>0</v>
          </cell>
          <cell r="H50">
            <v>0.42000000000000037</v>
          </cell>
          <cell r="K50">
            <v>0.16600000000000015</v>
          </cell>
        </row>
      </sheetData>
      <sheetData sheetId="4" refreshError="1"/>
      <sheetData sheetId="5">
        <row r="8">
          <cell r="N8">
            <v>9.256452252729126</v>
          </cell>
        </row>
        <row r="9">
          <cell r="N9">
            <v>9.0012651270101216</v>
          </cell>
        </row>
        <row r="10">
          <cell r="N10">
            <v>8.1084570134523766</v>
          </cell>
        </row>
        <row r="11">
          <cell r="N11">
            <v>0.614499974380875</v>
          </cell>
        </row>
        <row r="12">
          <cell r="N12">
            <v>5.0470233977514569</v>
          </cell>
        </row>
        <row r="13">
          <cell r="N13">
            <v>8.0541849147599258</v>
          </cell>
        </row>
        <row r="14">
          <cell r="N14">
            <v>24.109362039895849</v>
          </cell>
        </row>
        <row r="15">
          <cell r="N15">
            <v>1.4768258135210577</v>
          </cell>
        </row>
        <row r="16">
          <cell r="N16">
            <v>15.262618462768687</v>
          </cell>
        </row>
        <row r="17">
          <cell r="N17">
            <v>3.8961619764164088</v>
          </cell>
        </row>
        <row r="18">
          <cell r="N18">
            <v>5.3281520014668047</v>
          </cell>
        </row>
        <row r="19">
          <cell r="N19">
            <v>1.1360480502779922</v>
          </cell>
        </row>
        <row r="20">
          <cell r="N20">
            <v>8.7089489755693226</v>
          </cell>
        </row>
        <row r="32">
          <cell r="N32">
            <v>0.8391347930385108</v>
          </cell>
        </row>
        <row r="33">
          <cell r="N33">
            <v>1.3123295871045069</v>
          </cell>
        </row>
        <row r="34">
          <cell r="N34">
            <v>0</v>
          </cell>
        </row>
        <row r="35">
          <cell r="N35">
            <v>1.5806128386570679</v>
          </cell>
        </row>
        <row r="36">
          <cell r="N36">
            <v>5.2691879082100357</v>
          </cell>
        </row>
        <row r="37">
          <cell r="N37">
            <v>2.5518457914382635</v>
          </cell>
        </row>
        <row r="38">
          <cell r="N38">
            <v>5.2553806019542302</v>
          </cell>
        </row>
        <row r="39">
          <cell r="N39">
            <v>0.30123062005988366</v>
          </cell>
        </row>
        <row r="43">
          <cell r="N43">
            <v>5.0470233977514569</v>
          </cell>
        </row>
        <row r="44">
          <cell r="N44">
            <v>5.5941888033102618</v>
          </cell>
        </row>
        <row r="45">
          <cell r="N45">
            <v>2.4599961114496636</v>
          </cell>
        </row>
        <row r="46">
          <cell r="N46">
            <v>8.9429706773558024</v>
          </cell>
        </row>
        <row r="47">
          <cell r="N47">
            <v>4.0222470438163178</v>
          </cell>
        </row>
        <row r="48">
          <cell r="N48">
            <v>2.6451064448899695</v>
          </cell>
        </row>
        <row r="49">
          <cell r="N49">
            <v>4.1744018474523168</v>
          </cell>
        </row>
        <row r="50">
          <cell r="N50">
            <v>4.3246360263814401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SS H12 PB BAN"/>
      <sheetName val="ISS H12 PB PAR"/>
      <sheetName val="IVR H12 Pb PAR"/>
      <sheetName val="IVR H12 PB BAN"/>
      <sheetName val="ROM H12 PB BAN"/>
      <sheetName val="ROM H12 PB PAR"/>
      <sheetName val="STO H12 PB PAR"/>
      <sheetName val="STO H12 PB BAN"/>
      <sheetName val="Synthèse PB"/>
      <sheetName val="ISS H12 PC Ban"/>
      <sheetName val="ISS H12 PC PAR"/>
      <sheetName val="IVR H12 PC BAN"/>
      <sheetName val="IVR H12 PC PAR"/>
      <sheetName val="STO H12 PC BAN"/>
      <sheetName val="STO H12 PC PAR"/>
      <sheetName val="ROM H12 PC BAN"/>
      <sheetName val="ROM H12 PC PAR"/>
      <sheetName val="Synthèse P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68">
          <cell r="B68" t="str">
            <v>Déchets Putrescibles</v>
          </cell>
        </row>
        <row r="69">
          <cell r="B69" t="str">
            <v>Papiers</v>
          </cell>
        </row>
        <row r="70">
          <cell r="B70" t="str">
            <v>Cartons</v>
          </cell>
        </row>
        <row r="71">
          <cell r="B71" t="str">
            <v>Composites</v>
          </cell>
        </row>
        <row r="72">
          <cell r="B72" t="str">
            <v xml:space="preserve">Textiles </v>
          </cell>
        </row>
        <row r="73">
          <cell r="B73" t="str">
            <v>Textiles sanitaires</v>
          </cell>
        </row>
        <row r="74">
          <cell r="B74" t="str">
            <v>Plastiques</v>
          </cell>
        </row>
        <row r="75">
          <cell r="B75" t="str">
            <v>Combustibles non classés</v>
          </cell>
        </row>
        <row r="76">
          <cell r="B76" t="str">
            <v>Verre</v>
          </cell>
        </row>
        <row r="77">
          <cell r="B77" t="str">
            <v>Métaux</v>
          </cell>
        </row>
        <row r="78">
          <cell r="B78" t="str">
            <v>Incombustibles non classés</v>
          </cell>
        </row>
        <row r="79">
          <cell r="B79" t="str">
            <v>Déchets ménagers spéciaux</v>
          </cell>
        </row>
        <row r="80">
          <cell r="B80" t="str">
            <v>Eléments fins &lt; 20 mm</v>
          </cell>
        </row>
        <row r="84">
          <cell r="B84" t="str">
            <v>Déchets Putrescibles</v>
          </cell>
        </row>
        <row r="85">
          <cell r="B85" t="str">
            <v>Papiers</v>
          </cell>
        </row>
        <row r="86">
          <cell r="B86" t="str">
            <v>Cartons</v>
          </cell>
        </row>
        <row r="87">
          <cell r="B87" t="str">
            <v>Composites</v>
          </cell>
        </row>
        <row r="88">
          <cell r="B88" t="str">
            <v xml:space="preserve">Textiles </v>
          </cell>
        </row>
        <row r="89">
          <cell r="B89" t="str">
            <v>Textiles sanitaires</v>
          </cell>
        </row>
        <row r="90">
          <cell r="B90" t="str">
            <v>Plastiques</v>
          </cell>
        </row>
        <row r="91">
          <cell r="B91" t="str">
            <v>Combustibles non classés</v>
          </cell>
        </row>
        <row r="92">
          <cell r="B92" t="str">
            <v>Verre</v>
          </cell>
        </row>
        <row r="93">
          <cell r="B93" t="str">
            <v>Métaux</v>
          </cell>
        </row>
        <row r="94">
          <cell r="B94" t="str">
            <v>Incombustibles non classés</v>
          </cell>
        </row>
        <row r="95">
          <cell r="B95" t="str">
            <v>Déchets ménagers spéciaux</v>
          </cell>
        </row>
        <row r="96">
          <cell r="B96" t="str">
            <v>Eléments fins &lt; 20 mm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6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5"/>
  <sheetViews>
    <sheetView workbookViewId="0">
      <selection activeCell="O18" sqref="O18"/>
    </sheetView>
  </sheetViews>
  <sheetFormatPr baseColWidth="10" defaultRowHeight="15" x14ac:dyDescent="0.25"/>
  <cols>
    <col min="1" max="1" width="18.28515625" customWidth="1"/>
    <col min="2" max="2" width="30" customWidth="1"/>
  </cols>
  <sheetData>
    <row r="1" spans="1:10" s="1" customFormat="1" ht="12.75" x14ac:dyDescent="0.2"/>
    <row r="2" spans="1:10" s="1" customFormat="1" ht="15.75" x14ac:dyDescent="0.25">
      <c r="A2" s="1" t="s">
        <v>0</v>
      </c>
      <c r="B2" s="582" t="str">
        <f>'[1]F 1 _ Echant et Séchage'!D5</f>
        <v>ISS-E15-PB-BAN</v>
      </c>
      <c r="C2" s="582"/>
      <c r="D2" s="582"/>
      <c r="E2" s="582"/>
      <c r="F2" s="582"/>
      <c r="G2" s="2"/>
      <c r="H2" s="2"/>
      <c r="I2" s="2"/>
      <c r="J2" s="2"/>
    </row>
    <row r="3" spans="1:10" s="1" customFormat="1" ht="12.75" x14ac:dyDescent="0.2">
      <c r="A3" s="1" t="s">
        <v>1</v>
      </c>
      <c r="B3" s="589" t="str">
        <f>'[1]F 1 _ Echant et Séchage'!D6</f>
        <v>DN 162 KP - CA MONT VALERIEN - SURESNES</v>
      </c>
      <c r="C3" s="589"/>
      <c r="D3" s="589"/>
      <c r="E3" s="589"/>
      <c r="F3" s="589"/>
      <c r="G3" s="3"/>
      <c r="H3" s="3"/>
      <c r="I3" s="3"/>
      <c r="J3" s="3"/>
    </row>
    <row r="4" spans="1:10" s="1" customFormat="1" ht="12.75" x14ac:dyDescent="0.2">
      <c r="A4" s="1" t="s">
        <v>2</v>
      </c>
      <c r="B4" s="249"/>
      <c r="C4" s="249" t="str">
        <f>'[1]F 1 _ Echant et Séchage'!D8</f>
        <v>ISSEANE</v>
      </c>
      <c r="D4" s="249"/>
      <c r="E4" s="249"/>
      <c r="F4" s="249"/>
      <c r="G4" s="3"/>
      <c r="H4" s="3"/>
      <c r="I4" s="3"/>
      <c r="J4" s="3"/>
    </row>
    <row r="5" spans="1:10" s="1" customFormat="1" ht="12.75" x14ac:dyDescent="0.2">
      <c r="A5" s="1" t="s">
        <v>3</v>
      </c>
      <c r="B5" s="249"/>
      <c r="C5" s="249" t="str">
        <f>'[1]F 1 _ Echant et Séchage'!E15</f>
        <v>sec, ensoleillé</v>
      </c>
      <c r="D5" s="249"/>
      <c r="E5" s="249"/>
      <c r="F5" s="249"/>
      <c r="G5" s="3"/>
      <c r="H5" s="3"/>
      <c r="I5" s="3"/>
      <c r="J5" s="3"/>
    </row>
    <row r="6" spans="1:10" s="1" customFormat="1" ht="12.75" customHeight="1" x14ac:dyDescent="0.2"/>
    <row r="7" spans="1:10" s="1" customFormat="1" ht="18.75" customHeight="1" x14ac:dyDescent="0.2">
      <c r="A7" s="584" t="s">
        <v>4</v>
      </c>
      <c r="B7" s="584"/>
      <c r="C7" s="584"/>
      <c r="D7" s="584"/>
      <c r="E7" s="584"/>
      <c r="F7" s="584"/>
      <c r="G7" s="584"/>
      <c r="H7" s="584"/>
      <c r="I7" s="584"/>
      <c r="J7" s="584"/>
    </row>
    <row r="8" spans="1:10" s="1" customFormat="1" ht="12.75" x14ac:dyDescent="0.2">
      <c r="I8" s="4"/>
    </row>
    <row r="9" spans="1:10" s="1" customFormat="1" ht="12.75" x14ac:dyDescent="0.2">
      <c r="A9" s="1" t="s">
        <v>5</v>
      </c>
      <c r="B9" s="5">
        <f>'[1]F 1 _ Echant et Séchage'!B12</f>
        <v>42194</v>
      </c>
      <c r="D9" s="583" t="s">
        <v>6</v>
      </c>
      <c r="E9" s="583"/>
      <c r="F9" s="583"/>
      <c r="G9" s="6">
        <f>'[1]F 1 _ Echant et Séchage'!G19</f>
        <v>126.60000000000001</v>
      </c>
      <c r="H9" s="6"/>
      <c r="I9" s="7"/>
      <c r="J9" s="1" t="s">
        <v>7</v>
      </c>
    </row>
    <row r="10" spans="1:10" s="1" customFormat="1" ht="12.75" x14ac:dyDescent="0.2">
      <c r="A10" s="1" t="s">
        <v>8</v>
      </c>
      <c r="B10" s="8" t="str">
        <f>'[1]F 1 _ Echant et Séchage'!E12</f>
        <v>19H15</v>
      </c>
      <c r="D10" s="583" t="s">
        <v>9</v>
      </c>
      <c r="E10" s="583"/>
      <c r="F10" s="583"/>
      <c r="G10" s="249">
        <f>'[1]F 1 _ Echant et Séchage'!H26</f>
        <v>0.45</v>
      </c>
      <c r="H10" s="249"/>
      <c r="I10" s="9"/>
      <c r="J10" s="1" t="s">
        <v>10</v>
      </c>
    </row>
    <row r="11" spans="1:10" s="1" customFormat="1" ht="12.75" x14ac:dyDescent="0.2">
      <c r="B11" s="583"/>
      <c r="C11" s="583"/>
      <c r="D11" s="583" t="s">
        <v>11</v>
      </c>
      <c r="E11" s="583"/>
      <c r="F11" s="583"/>
      <c r="G11" s="10">
        <f>G9/1000/G10</f>
        <v>0.28133333333333338</v>
      </c>
      <c r="H11" s="10"/>
      <c r="I11" s="3"/>
      <c r="J11" s="3" t="s">
        <v>12</v>
      </c>
    </row>
    <row r="12" spans="1:10" s="1" customFormat="1" ht="12.75" x14ac:dyDescent="0.2">
      <c r="B12" s="7"/>
      <c r="D12" s="583" t="s">
        <v>13</v>
      </c>
      <c r="E12" s="583"/>
      <c r="F12" s="583"/>
      <c r="G12" s="231">
        <f>'[1]F 1 _ Echant et Séchage'!D51</f>
        <v>0.33700631911532386</v>
      </c>
      <c r="H12" s="11"/>
      <c r="I12" s="11"/>
    </row>
    <row r="13" spans="1:10" s="1" customFormat="1" ht="12.75" x14ac:dyDescent="0.2">
      <c r="B13" s="12"/>
      <c r="G13" s="234"/>
      <c r="H13" s="234"/>
      <c r="I13" s="234"/>
    </row>
    <row r="14" spans="1:10" s="1" customFormat="1" ht="18.75" customHeight="1" x14ac:dyDescent="0.2">
      <c r="A14" s="584" t="s">
        <v>14</v>
      </c>
      <c r="B14" s="584"/>
      <c r="C14" s="584"/>
      <c r="D14" s="584"/>
      <c r="E14" s="584"/>
      <c r="F14" s="584"/>
      <c r="G14" s="584"/>
      <c r="H14" s="584"/>
      <c r="I14" s="584"/>
      <c r="J14" s="584"/>
    </row>
    <row r="15" spans="1:10" s="1" customFormat="1" ht="15.75" customHeight="1" x14ac:dyDescent="0.2">
      <c r="A15" s="13"/>
      <c r="B15" s="13"/>
      <c r="C15" s="13"/>
      <c r="D15" s="13"/>
      <c r="E15" s="13"/>
      <c r="F15" s="13"/>
      <c r="G15" s="13"/>
      <c r="H15" s="13"/>
      <c r="I15" s="13"/>
      <c r="J15" s="13"/>
    </row>
    <row r="16" spans="1:10" s="1" customFormat="1" ht="27.75" customHeight="1" thickBot="1" x14ac:dyDescent="0.25">
      <c r="C16" s="14" t="s">
        <v>15</v>
      </c>
      <c r="D16" s="15"/>
      <c r="E16" s="15"/>
      <c r="F16" s="15"/>
      <c r="G16" s="585" t="s">
        <v>16</v>
      </c>
      <c r="H16" s="587" t="s">
        <v>17</v>
      </c>
      <c r="I16" s="585" t="s">
        <v>18</v>
      </c>
      <c r="J16" s="587" t="s">
        <v>19</v>
      </c>
    </row>
    <row r="17" spans="1:10" s="1" customFormat="1" ht="29.25" customHeight="1" thickBot="1" x14ac:dyDescent="0.25">
      <c r="A17" s="138" t="s">
        <v>20</v>
      </c>
      <c r="B17" s="139" t="s">
        <v>21</v>
      </c>
      <c r="C17" s="16" t="s">
        <v>22</v>
      </c>
      <c r="D17" s="16" t="s">
        <v>23</v>
      </c>
      <c r="E17" s="16" t="s">
        <v>24</v>
      </c>
      <c r="F17" s="17" t="s">
        <v>25</v>
      </c>
      <c r="G17" s="586"/>
      <c r="H17" s="588"/>
      <c r="I17" s="586"/>
      <c r="J17" s="588"/>
    </row>
    <row r="18" spans="1:10" s="1" customFormat="1" ht="15" customHeight="1" x14ac:dyDescent="0.2">
      <c r="A18" s="579" t="s">
        <v>26</v>
      </c>
      <c r="B18" s="18" t="s">
        <v>119</v>
      </c>
      <c r="C18" s="19">
        <f>'[1]F 4 TRI _ Granulo'!K5</f>
        <v>12.730308880308883</v>
      </c>
      <c r="D18" s="20">
        <f>'[1]F 4 TRI _ Granulo'!H5</f>
        <v>3.61</v>
      </c>
      <c r="E18" s="20">
        <f>'[1]F 4 TRI _ Granulo'!E5</f>
        <v>4.3</v>
      </c>
      <c r="F18" s="20">
        <f>SUM(C18:E18)</f>
        <v>20.640308880308883</v>
      </c>
      <c r="G18" s="21">
        <f t="shared" ref="G18:G64" si="0">F18/$F$64</f>
        <v>0.24323220043005975</v>
      </c>
      <c r="H18" s="21">
        <f>G18*J18/I18</f>
        <v>0.43310340943982045</v>
      </c>
      <c r="I18" s="578">
        <f>G18+G19+G20+G21+G22</f>
        <v>0.26598187124232309</v>
      </c>
      <c r="J18" s="578">
        <f>'[1]Calcul sous cat &gt;20'!N8/100</f>
        <v>0.47361186175412656</v>
      </c>
    </row>
    <row r="19" spans="1:10" s="1" customFormat="1" ht="15" customHeight="1" x14ac:dyDescent="0.2">
      <c r="A19" s="580"/>
      <c r="B19" s="18" t="s">
        <v>27</v>
      </c>
      <c r="C19" s="19">
        <f>'[1]F 4 TRI _ Granulo'!K6</f>
        <v>1.414478764478766</v>
      </c>
      <c r="D19" s="20">
        <f>'[1]F 4 TRI _ Granulo'!H6</f>
        <v>0</v>
      </c>
      <c r="E19" s="20">
        <f>'[1]F 4 TRI _ Granulo'!E6</f>
        <v>0</v>
      </c>
      <c r="F19" s="20">
        <f>SUM(C19:E19)</f>
        <v>1.414478764478766</v>
      </c>
      <c r="G19" s="21">
        <f t="shared" si="0"/>
        <v>1.6668683804145368E-2</v>
      </c>
      <c r="H19" s="21">
        <f>G19*J18/I18</f>
        <v>2.9680543010692124E-2</v>
      </c>
      <c r="I19" s="578"/>
      <c r="J19" s="578"/>
    </row>
    <row r="20" spans="1:10" s="1" customFormat="1" ht="15" customHeight="1" x14ac:dyDescent="0.2">
      <c r="A20" s="580"/>
      <c r="B20" s="18" t="s">
        <v>28</v>
      </c>
      <c r="C20" s="19">
        <f>'[1]F 4 TRI _ Granulo'!K7</f>
        <v>0</v>
      </c>
      <c r="D20" s="20">
        <f>'[1]F 4 TRI _ Granulo'!H7</f>
        <v>0</v>
      </c>
      <c r="E20" s="20">
        <f>'[1]F 4 TRI _ Granulo'!E7</f>
        <v>0</v>
      </c>
      <c r="F20" s="20">
        <f t="shared" ref="F20:F62" si="1">SUM(C20:E20)</f>
        <v>0</v>
      </c>
      <c r="G20" s="21">
        <f t="shared" si="0"/>
        <v>0</v>
      </c>
      <c r="H20" s="21">
        <f>G20*J18/I18</f>
        <v>0</v>
      </c>
      <c r="I20" s="578"/>
      <c r="J20" s="578"/>
    </row>
    <row r="21" spans="1:10" s="1" customFormat="1" ht="15" customHeight="1" x14ac:dyDescent="0.2">
      <c r="A21" s="580"/>
      <c r="B21" s="18" t="s">
        <v>29</v>
      </c>
      <c r="C21" s="19">
        <f>'[1]F 4 TRI _ Granulo'!K8</f>
        <v>0</v>
      </c>
      <c r="D21" s="20">
        <f>'[1]F 4 TRI _ Granulo'!H8</f>
        <v>0.10000000000000009</v>
      </c>
      <c r="E21" s="20">
        <f>'[1]F 4 TRI _ Granulo'!E8</f>
        <v>0</v>
      </c>
      <c r="F21" s="20">
        <f t="shared" si="1"/>
        <v>0.10000000000000009</v>
      </c>
      <c r="G21" s="21">
        <f t="shared" si="0"/>
        <v>1.1784329480752421E-3</v>
      </c>
      <c r="H21" s="21">
        <f>G21*J18/I18</f>
        <v>2.0983378298810584E-3</v>
      </c>
      <c r="I21" s="578"/>
      <c r="J21" s="578"/>
    </row>
    <row r="22" spans="1:10" s="1" customFormat="1" ht="15" customHeight="1" x14ac:dyDescent="0.2">
      <c r="A22" s="581"/>
      <c r="B22" s="18" t="s">
        <v>30</v>
      </c>
      <c r="C22" s="19">
        <f>'[1]F 4 TRI _ Granulo'!K9</f>
        <v>0.41602316602316641</v>
      </c>
      <c r="D22" s="20">
        <f>'[1]F 4 TRI _ Granulo'!H9</f>
        <v>0</v>
      </c>
      <c r="E22" s="20">
        <f>'[1]F 4 TRI _ Granulo'!E9</f>
        <v>0</v>
      </c>
      <c r="F22" s="20">
        <f t="shared" si="1"/>
        <v>0.41602316602316641</v>
      </c>
      <c r="G22" s="21">
        <f t="shared" si="0"/>
        <v>4.9025540600427546E-3</v>
      </c>
      <c r="H22" s="21">
        <f>G22*J18/I18</f>
        <v>8.7295714737329749E-3</v>
      </c>
      <c r="I22" s="578"/>
      <c r="J22" s="578"/>
    </row>
    <row r="23" spans="1:10" s="1" customFormat="1" ht="15" customHeight="1" x14ac:dyDescent="0.2">
      <c r="A23" s="567" t="s">
        <v>31</v>
      </c>
      <c r="B23" s="18" t="s">
        <v>32</v>
      </c>
      <c r="C23" s="19">
        <f>'[1]F 4 TRI _ Granulo'!K10</f>
        <v>0.58243243243243292</v>
      </c>
      <c r="D23" s="20">
        <f>'[1]F 4 TRI _ Granulo'!H10</f>
        <v>0.1100000000000001</v>
      </c>
      <c r="E23" s="20">
        <f>'[1]F 4 TRI _ Granulo'!E10</f>
        <v>0</v>
      </c>
      <c r="F23" s="20">
        <f t="shared" si="1"/>
        <v>0.69243243243243302</v>
      </c>
      <c r="G23" s="21">
        <f t="shared" si="0"/>
        <v>8.1598519269426226E-3</v>
      </c>
      <c r="H23" s="21">
        <f>'[1]Calcul sous cat &gt;20'!N32/100</f>
        <v>6.1126168858626328E-3</v>
      </c>
      <c r="I23" s="571">
        <f>G23+G24+G25+G26+G27</f>
        <v>0.20280330543617034</v>
      </c>
      <c r="J23" s="571">
        <f>'[1]Calcul sous cat &gt;20'!N9/100</f>
        <v>0.14798466266910043</v>
      </c>
    </row>
    <row r="24" spans="1:10" s="1" customFormat="1" ht="15" customHeight="1" x14ac:dyDescent="0.2">
      <c r="A24" s="568"/>
      <c r="B24" s="18" t="s">
        <v>33</v>
      </c>
      <c r="C24" s="19">
        <f>'[1]F 4 TRI _ Granulo'!K11</f>
        <v>1.2480694980694993</v>
      </c>
      <c r="D24" s="20">
        <f>'[1]F 4 TRI _ Granulo'!H11</f>
        <v>6.15</v>
      </c>
      <c r="E24" s="20">
        <f>'[1]F 4 TRI _ Granulo'!E11</f>
        <v>0</v>
      </c>
      <c r="F24" s="20">
        <f t="shared" si="1"/>
        <v>7.3980694980694999</v>
      </c>
      <c r="G24" s="21">
        <f t="shared" si="0"/>
        <v>8.718128848675559E-2</v>
      </c>
      <c r="H24" s="21">
        <f>'[1]Calcul sous cat &gt;20'!N33/100</f>
        <v>6.2964752300943186E-2</v>
      </c>
      <c r="I24" s="571"/>
      <c r="J24" s="571"/>
    </row>
    <row r="25" spans="1:10" s="1" customFormat="1" ht="15" customHeight="1" x14ac:dyDescent="0.2">
      <c r="A25" s="568"/>
      <c r="B25" s="18" t="s">
        <v>34</v>
      </c>
      <c r="C25" s="19">
        <f>'[1]F 4 TRI _ Granulo'!K12</f>
        <v>0.24961389961389988</v>
      </c>
      <c r="D25" s="20">
        <f>'[1]F 4 TRI _ Granulo'!H12</f>
        <v>1.0000000000000009E-2</v>
      </c>
      <c r="E25" s="20">
        <f>'[1]F 4 TRI _ Granulo'!E12</f>
        <v>0</v>
      </c>
      <c r="F25" s="20">
        <f t="shared" si="1"/>
        <v>0.25961389961389991</v>
      </c>
      <c r="G25" s="21">
        <f t="shared" si="0"/>
        <v>3.0593757308331774E-3</v>
      </c>
      <c r="H25" s="21">
        <f>'[1]Calcul sous cat &gt;20'!N34/100</f>
        <v>2.2095662777075436E-3</v>
      </c>
      <c r="I25" s="571"/>
      <c r="J25" s="571"/>
    </row>
    <row r="26" spans="1:10" s="1" customFormat="1" ht="15" customHeight="1" x14ac:dyDescent="0.2">
      <c r="A26" s="568"/>
      <c r="B26" s="18" t="s">
        <v>35</v>
      </c>
      <c r="C26" s="19">
        <f>'[1]F 4 TRI _ Granulo'!K13</f>
        <v>1.7472972972972991</v>
      </c>
      <c r="D26" s="20">
        <f>'[1]F 4 TRI _ Granulo'!H13</f>
        <v>3.97</v>
      </c>
      <c r="E26" s="20">
        <f>'[1]F 4 TRI _ Granulo'!E13</f>
        <v>0</v>
      </c>
      <c r="F26" s="20">
        <f t="shared" si="1"/>
        <v>5.7172972972972991</v>
      </c>
      <c r="G26" s="21">
        <f t="shared" si="0"/>
        <v>6.737451509076664E-2</v>
      </c>
      <c r="H26" s="21">
        <f>'[1]Calcul sous cat &gt;20'!N35/100</f>
        <v>4.9123045429153217E-2</v>
      </c>
      <c r="I26" s="571"/>
      <c r="J26" s="571"/>
    </row>
    <row r="27" spans="1:10" s="1" customFormat="1" ht="15" customHeight="1" x14ac:dyDescent="0.2">
      <c r="A27" s="570"/>
      <c r="B27" s="18" t="s">
        <v>36</v>
      </c>
      <c r="C27" s="19">
        <f>'[1]F 4 TRI _ Granulo'!K14</f>
        <v>2.9121621621621632</v>
      </c>
      <c r="D27" s="20">
        <f>'[1]F 4 TRI _ Granulo'!H14</f>
        <v>0.22999999999999998</v>
      </c>
      <c r="E27" s="20">
        <f>'[1]F 4 TRI _ Granulo'!E14</f>
        <v>0</v>
      </c>
      <c r="F27" s="20">
        <f t="shared" si="1"/>
        <v>3.1421621621621632</v>
      </c>
      <c r="G27" s="21">
        <f t="shared" si="0"/>
        <v>3.7028274200872319E-2</v>
      </c>
      <c r="H27" s="21">
        <f>'[1]Calcul sous cat &gt;20'!N36/100</f>
        <v>2.7574681775433863E-2</v>
      </c>
      <c r="I27" s="571"/>
      <c r="J27" s="571"/>
    </row>
    <row r="28" spans="1:10" s="1" customFormat="1" ht="15" customHeight="1" x14ac:dyDescent="0.2">
      <c r="A28" s="567" t="s">
        <v>37</v>
      </c>
      <c r="B28" s="18" t="s">
        <v>38</v>
      </c>
      <c r="C28" s="19">
        <f>'[1]F 4 TRI _ Granulo'!K15</f>
        <v>1.5808880308880324</v>
      </c>
      <c r="D28" s="20">
        <f>'[1]F 4 TRI _ Granulo'!H15</f>
        <v>0.85000000000000009</v>
      </c>
      <c r="E28" s="20">
        <f>'[1]F 4 TRI _ Granulo'!E15</f>
        <v>0</v>
      </c>
      <c r="F28" s="20">
        <f t="shared" si="1"/>
        <v>2.4308880308880325</v>
      </c>
      <c r="G28" s="21">
        <f t="shared" si="0"/>
        <v>2.8646385486802019E-2</v>
      </c>
      <c r="H28" s="21">
        <f>'[1]Calcul sous cat &gt;20'!N37/100</f>
        <v>2.0795275312099036E-2</v>
      </c>
      <c r="I28" s="571">
        <f>G28+G29+G30</f>
        <v>0.11863316337812593</v>
      </c>
      <c r="J28" s="571">
        <f>'[1]Calcul sous cat &gt;20'!N10/100</f>
        <v>8.657568144486881E-2</v>
      </c>
    </row>
    <row r="29" spans="1:10" s="1" customFormat="1" ht="15" customHeight="1" x14ac:dyDescent="0.2">
      <c r="A29" s="568"/>
      <c r="B29" s="18" t="s">
        <v>39</v>
      </c>
      <c r="C29" s="19">
        <f>'[1]F 4 TRI _ Granulo'!K16</f>
        <v>1.414478764478766</v>
      </c>
      <c r="D29" s="20">
        <f>'[1]F 4 TRI _ Granulo'!H16</f>
        <v>1.1099999999999999</v>
      </c>
      <c r="E29" s="20">
        <f>'[1]F 4 TRI _ Granulo'!E16</f>
        <v>3.0600000000000005</v>
      </c>
      <c r="F29" s="20">
        <f t="shared" si="1"/>
        <v>5.5844787644787663</v>
      </c>
      <c r="G29" s="21">
        <f t="shared" si="0"/>
        <v>6.5809337738882923E-2</v>
      </c>
      <c r="H29" s="21">
        <f>'[1]Calcul sous cat &gt;20'!N38/100</f>
        <v>4.7853058053255237E-2</v>
      </c>
      <c r="I29" s="571"/>
      <c r="J29" s="571"/>
    </row>
    <row r="30" spans="1:10" s="1" customFormat="1" ht="15" customHeight="1" x14ac:dyDescent="0.2">
      <c r="A30" s="570"/>
      <c r="B30" s="18" t="s">
        <v>40</v>
      </c>
      <c r="C30" s="19">
        <f>'[1]F 4 TRI _ Granulo'!K17</f>
        <v>1.0816602316602326</v>
      </c>
      <c r="D30" s="20">
        <f>'[1]F 4 TRI _ Granulo'!H17</f>
        <v>9.000000000000008E-2</v>
      </c>
      <c r="E30" s="20">
        <f>'[1]F 4 TRI _ Granulo'!E17</f>
        <v>0.88</v>
      </c>
      <c r="F30" s="20">
        <f t="shared" si="1"/>
        <v>2.0516602316602328</v>
      </c>
      <c r="G30" s="21">
        <f t="shared" si="0"/>
        <v>2.4177440152441002E-2</v>
      </c>
      <c r="H30" s="21">
        <f>'[1]Calcul sous cat &gt;20'!N39/100</f>
        <v>1.7927348079514526E-2</v>
      </c>
      <c r="I30" s="571"/>
      <c r="J30" s="571"/>
    </row>
    <row r="31" spans="1:10" s="1" customFormat="1" ht="15" customHeight="1" x14ac:dyDescent="0.2">
      <c r="A31" s="572" t="s">
        <v>41</v>
      </c>
      <c r="B31" s="18" t="s">
        <v>42</v>
      </c>
      <c r="C31" s="19">
        <f>'[1]F 4 TRI _ Granulo'!K18</f>
        <v>0</v>
      </c>
      <c r="D31" s="20">
        <f>'[1]F 4 TRI _ Granulo'!H18</f>
        <v>0</v>
      </c>
      <c r="E31" s="20">
        <f>'[1]F 4 TRI _ Granulo'!E18</f>
        <v>0</v>
      </c>
      <c r="F31" s="20">
        <f t="shared" si="1"/>
        <v>0</v>
      </c>
      <c r="G31" s="21">
        <f t="shared" si="0"/>
        <v>0</v>
      </c>
      <c r="H31" s="243">
        <f>G31*J31/I31</f>
        <v>0</v>
      </c>
      <c r="I31" s="575">
        <f>G31+G32+G33+G34</f>
        <v>4.9025540600427546E-3</v>
      </c>
      <c r="J31" s="575">
        <f>'[1]Calcul sous cat &gt;20'!N11/100</f>
        <v>4.5036581434452503E-3</v>
      </c>
    </row>
    <row r="32" spans="1:10" s="1" customFormat="1" ht="15" customHeight="1" x14ac:dyDescent="0.2">
      <c r="A32" s="573"/>
      <c r="B32" s="18" t="s">
        <v>43</v>
      </c>
      <c r="C32" s="19">
        <f>'[1]F 4 TRI _ Granulo'!K19</f>
        <v>0.41602316602316641</v>
      </c>
      <c r="D32" s="20">
        <f>'[1]F 4 TRI _ Granulo'!H19</f>
        <v>0</v>
      </c>
      <c r="E32" s="20">
        <f>'[1]F 4 TRI _ Granulo'!E19</f>
        <v>0</v>
      </c>
      <c r="F32" s="20">
        <f t="shared" si="1"/>
        <v>0.41602316602316641</v>
      </c>
      <c r="G32" s="21">
        <f t="shared" si="0"/>
        <v>4.9025540600427546E-3</v>
      </c>
      <c r="H32" s="243">
        <f>G32*J31/I31</f>
        <v>4.5036581434452503E-3</v>
      </c>
      <c r="I32" s="576"/>
      <c r="J32" s="576"/>
    </row>
    <row r="33" spans="1:10" s="1" customFormat="1" ht="15" customHeight="1" x14ac:dyDescent="0.2">
      <c r="A33" s="573"/>
      <c r="B33" s="18" t="s">
        <v>44</v>
      </c>
      <c r="C33" s="19">
        <f>'[1]F 4 TRI _ Granulo'!K20</f>
        <v>0</v>
      </c>
      <c r="D33" s="20">
        <f>'[1]F 4 TRI _ Granulo'!H20</f>
        <v>0</v>
      </c>
      <c r="E33" s="20">
        <f>'[1]F 4 TRI _ Granulo'!E20</f>
        <v>0</v>
      </c>
      <c r="F33" s="20">
        <f t="shared" si="1"/>
        <v>0</v>
      </c>
      <c r="G33" s="21">
        <f t="shared" si="0"/>
        <v>0</v>
      </c>
      <c r="H33" s="244">
        <f>G33*J31/I31</f>
        <v>0</v>
      </c>
      <c r="I33" s="576"/>
      <c r="J33" s="576"/>
    </row>
    <row r="34" spans="1:10" s="1" customFormat="1" ht="15" customHeight="1" x14ac:dyDescent="0.2">
      <c r="A34" s="574"/>
      <c r="B34" s="18" t="s">
        <v>120</v>
      </c>
      <c r="C34" s="19">
        <f>'[1]F 4 TRI _ Granulo'!K21</f>
        <v>0</v>
      </c>
      <c r="D34" s="20">
        <f>'[1]F 4 TRI _ Granulo'!H21</f>
        <v>0</v>
      </c>
      <c r="E34" s="20">
        <f>'[1]F 4 TRI _ Granulo'!E21</f>
        <v>0</v>
      </c>
      <c r="F34" s="20">
        <f t="shared" si="1"/>
        <v>0</v>
      </c>
      <c r="G34" s="21">
        <f t="shared" si="0"/>
        <v>0</v>
      </c>
      <c r="H34" s="244">
        <f>G34*J31/I31</f>
        <v>0</v>
      </c>
      <c r="I34" s="577"/>
      <c r="J34" s="577"/>
    </row>
    <row r="35" spans="1:10" s="1" customFormat="1" ht="15" customHeight="1" x14ac:dyDescent="0.2">
      <c r="A35" s="245" t="s">
        <v>45</v>
      </c>
      <c r="B35" s="18" t="s">
        <v>46</v>
      </c>
      <c r="C35" s="19">
        <f>'[1]F 4 TRI _ Granulo'!K22</f>
        <v>0</v>
      </c>
      <c r="D35" s="20">
        <f>'[1]F 4 TRI _ Granulo'!H22</f>
        <v>0.39000000000000012</v>
      </c>
      <c r="E35" s="20">
        <f>'[1]F 4 TRI _ Granulo'!E22</f>
        <v>0</v>
      </c>
      <c r="F35" s="20">
        <f t="shared" si="1"/>
        <v>0.39000000000000012</v>
      </c>
      <c r="G35" s="21">
        <f t="shared" si="0"/>
        <v>4.5958884974934416E-3</v>
      </c>
      <c r="H35" s="21">
        <f>'[1]Calcul sous cat &gt;20'!N43/100</f>
        <v>3.3514434135864723E-3</v>
      </c>
      <c r="I35" s="246">
        <f>G35</f>
        <v>4.5958884974934416E-3</v>
      </c>
      <c r="J35" s="246">
        <f>'[1]Calcul sous cat &gt;20'!N12/100</f>
        <v>3.3514434135864723E-3</v>
      </c>
    </row>
    <row r="36" spans="1:10" s="1" customFormat="1" ht="15" customHeight="1" x14ac:dyDescent="0.2">
      <c r="A36" s="567" t="s">
        <v>47</v>
      </c>
      <c r="B36" s="18" t="s">
        <v>48</v>
      </c>
      <c r="C36" s="19">
        <f>'[1]F 4 TRI _ Granulo'!K23</f>
        <v>0</v>
      </c>
      <c r="D36" s="20">
        <f>'[1]F 4 TRI _ Granulo'!H23</f>
        <v>0.5900000000000003</v>
      </c>
      <c r="E36" s="20">
        <f>'[1]F 4 TRI _ Granulo'!E23</f>
        <v>0</v>
      </c>
      <c r="F36" s="20">
        <f t="shared" si="1"/>
        <v>0.5900000000000003</v>
      </c>
      <c r="G36" s="21">
        <f t="shared" si="0"/>
        <v>6.9527543936439258E-3</v>
      </c>
      <c r="H36" s="21">
        <f>'[1]Calcul sous cat &gt;20'!N44/100</f>
        <v>5.3207153612056446E-3</v>
      </c>
      <c r="I36" s="571">
        <f>G36+G37</f>
        <v>3.0960936995241699E-2</v>
      </c>
      <c r="J36" s="571">
        <f>'[1]Calcul sous cat &gt;20'!N13/100</f>
        <v>2.3199147509557472E-2</v>
      </c>
    </row>
    <row r="37" spans="1:10" s="1" customFormat="1" ht="15" customHeight="1" x14ac:dyDescent="0.2">
      <c r="A37" s="570"/>
      <c r="B37" s="18" t="s">
        <v>49</v>
      </c>
      <c r="C37" s="19">
        <f>'[1]F 4 TRI _ Granulo'!K24</f>
        <v>1.7472972972972991</v>
      </c>
      <c r="D37" s="20">
        <f>'[1]F 4 TRI _ Granulo'!H24</f>
        <v>0.29000000000000004</v>
      </c>
      <c r="E37" s="20">
        <f>'[1]F 4 TRI _ Granulo'!E24</f>
        <v>0</v>
      </c>
      <c r="F37" s="20">
        <f t="shared" si="1"/>
        <v>2.0372972972972994</v>
      </c>
      <c r="G37" s="21">
        <f t="shared" si="0"/>
        <v>2.4008182601597775E-2</v>
      </c>
      <c r="H37" s="21">
        <f>'[1]Calcul sous cat &gt;20'!N45/100</f>
        <v>1.7878432148351827E-2</v>
      </c>
      <c r="I37" s="571"/>
      <c r="J37" s="571"/>
    </row>
    <row r="38" spans="1:10" s="1" customFormat="1" ht="15" customHeight="1" x14ac:dyDescent="0.2">
      <c r="A38" s="567" t="s">
        <v>50</v>
      </c>
      <c r="B38" s="18" t="s">
        <v>51</v>
      </c>
      <c r="C38" s="19">
        <f>'[1]F 4 TRI _ Granulo'!K25</f>
        <v>1.414478764478766</v>
      </c>
      <c r="D38" s="20">
        <f>'[1]F 4 TRI _ Granulo'!H25</f>
        <v>4.17</v>
      </c>
      <c r="E38" s="20">
        <f>'[1]F 4 TRI _ Granulo'!E25</f>
        <v>1.36</v>
      </c>
      <c r="F38" s="20">
        <f t="shared" si="1"/>
        <v>6.9444787644787658</v>
      </c>
      <c r="G38" s="21">
        <f t="shared" si="0"/>
        <v>8.1836025832706188E-2</v>
      </c>
      <c r="H38" s="21">
        <f>'[1]Calcul sous cat &gt;20'!N46/100</f>
        <v>6.8129807717963772E-2</v>
      </c>
      <c r="I38" s="571">
        <f>G38+G39+G40+G41+G42</f>
        <v>0.14042052311503053</v>
      </c>
      <c r="J38" s="571">
        <f>'[1]Calcul sous cat &gt;20'!N14/100</f>
        <v>0.1155262401346797</v>
      </c>
    </row>
    <row r="39" spans="1:10" s="1" customFormat="1" ht="15" customHeight="1" x14ac:dyDescent="0.2">
      <c r="A39" s="568"/>
      <c r="B39" s="18" t="s">
        <v>52</v>
      </c>
      <c r="C39" s="19">
        <f>'[1]F 4 TRI _ Granulo'!K26</f>
        <v>0.91525096525096605</v>
      </c>
      <c r="D39" s="20">
        <f>'[1]F 4 TRI _ Granulo'!H26</f>
        <v>0.27</v>
      </c>
      <c r="E39" s="20">
        <f>'[1]F 4 TRI _ Granulo'!E26</f>
        <v>0</v>
      </c>
      <c r="F39" s="20">
        <f t="shared" si="1"/>
        <v>1.1852509652509662</v>
      </c>
      <c r="G39" s="21">
        <f t="shared" si="0"/>
        <v>1.3967387891897212E-2</v>
      </c>
      <c r="H39" s="21">
        <f>'[1]Calcul sous cat &gt;20'!N47/100</f>
        <v>1.0382153172507149E-2</v>
      </c>
      <c r="I39" s="571"/>
      <c r="J39" s="571"/>
    </row>
    <row r="40" spans="1:10" s="1" customFormat="1" ht="15" customHeight="1" x14ac:dyDescent="0.2">
      <c r="A40" s="568"/>
      <c r="B40" s="18" t="s">
        <v>53</v>
      </c>
      <c r="C40" s="19">
        <f>'[1]F 4 TRI _ Granulo'!K27</f>
        <v>0</v>
      </c>
      <c r="D40" s="20">
        <f>'[1]F 4 TRI _ Granulo'!H27</f>
        <v>9.000000000000008E-2</v>
      </c>
      <c r="E40" s="20">
        <f>'[1]F 4 TRI _ Granulo'!E27</f>
        <v>0</v>
      </c>
      <c r="F40" s="20">
        <f t="shared" si="1"/>
        <v>9.000000000000008E-2</v>
      </c>
      <c r="G40" s="21">
        <f t="shared" si="0"/>
        <v>1.0605896532677179E-3</v>
      </c>
      <c r="H40" s="21">
        <f>'[1]Calcul sous cat &gt;20'!N48/100</f>
        <v>7.8808615293159872E-4</v>
      </c>
      <c r="I40" s="571"/>
      <c r="J40" s="571"/>
    </row>
    <row r="41" spans="1:10" s="1" customFormat="1" ht="15" customHeight="1" x14ac:dyDescent="0.2">
      <c r="A41" s="568"/>
      <c r="B41" s="18" t="s">
        <v>54</v>
      </c>
      <c r="C41" s="19">
        <f>'[1]F 4 TRI _ Granulo'!K28</f>
        <v>1.5808880308880324</v>
      </c>
      <c r="D41" s="20">
        <f>'[1]F 4 TRI _ Granulo'!H28</f>
        <v>0.60999999999999988</v>
      </c>
      <c r="E41" s="20">
        <f>'[1]F 4 TRI _ Granulo'!E28</f>
        <v>0</v>
      </c>
      <c r="F41" s="20">
        <f t="shared" si="1"/>
        <v>2.1908880308880323</v>
      </c>
      <c r="G41" s="21">
        <f t="shared" si="0"/>
        <v>2.5818146411421435E-2</v>
      </c>
      <c r="H41" s="21">
        <f>'[1]Calcul sous cat &gt;20'!N49/100</f>
        <v>2.1471204798883758E-2</v>
      </c>
      <c r="I41" s="571"/>
      <c r="J41" s="571"/>
    </row>
    <row r="42" spans="1:10" s="1" customFormat="1" ht="27" customHeight="1" x14ac:dyDescent="0.2">
      <c r="A42" s="570"/>
      <c r="B42" s="18" t="s">
        <v>55</v>
      </c>
      <c r="C42" s="19">
        <f>'[1]F 4 TRI _ Granulo'!K29</f>
        <v>0.91525096525096605</v>
      </c>
      <c r="D42" s="20">
        <f>'[1]F 4 TRI _ Granulo'!H29</f>
        <v>0.5900000000000003</v>
      </c>
      <c r="E42" s="20">
        <f>'[1]F 4 TRI _ Granulo'!E29</f>
        <v>0</v>
      </c>
      <c r="F42" s="20">
        <f t="shared" si="1"/>
        <v>1.5052509652509665</v>
      </c>
      <c r="G42" s="21">
        <f t="shared" si="0"/>
        <v>1.7738373325737987E-2</v>
      </c>
      <c r="H42" s="21">
        <f>'[1]Calcul sous cat &gt;20'!N50/100</f>
        <v>1.4754988292393426E-2</v>
      </c>
      <c r="I42" s="571"/>
      <c r="J42" s="571"/>
    </row>
    <row r="43" spans="1:10" s="1" customFormat="1" ht="26.25" customHeight="1" x14ac:dyDescent="0.2">
      <c r="A43" s="245" t="s">
        <v>56</v>
      </c>
      <c r="B43" s="18" t="s">
        <v>56</v>
      </c>
      <c r="C43" s="19">
        <f>'[1]F 4 TRI _ Granulo'!K30</f>
        <v>3.411389961389963</v>
      </c>
      <c r="D43" s="20">
        <f>'[1]F 4 TRI _ Granulo'!H30</f>
        <v>0.41000000000000014</v>
      </c>
      <c r="E43" s="20">
        <f>'[1]F 4 TRI _ Granulo'!E30</f>
        <v>0</v>
      </c>
      <c r="F43" s="20">
        <f t="shared" si="1"/>
        <v>3.8213899613899631</v>
      </c>
      <c r="G43" s="21">
        <f t="shared" si="0"/>
        <v>4.5032518379459055E-2</v>
      </c>
      <c r="H43" s="21">
        <f>J43</f>
        <v>3.3534934223932743E-2</v>
      </c>
      <c r="I43" s="246">
        <f>G43</f>
        <v>4.5032518379459055E-2</v>
      </c>
      <c r="J43" s="246">
        <f>'[1]Calcul sous cat &gt;20'!N15/100</f>
        <v>3.3534934223932743E-2</v>
      </c>
    </row>
    <row r="44" spans="1:10" s="1" customFormat="1" ht="15" customHeight="1" x14ac:dyDescent="0.2">
      <c r="A44" s="567" t="s">
        <v>57</v>
      </c>
      <c r="B44" s="18" t="s">
        <v>58</v>
      </c>
      <c r="C44" s="19">
        <f>'[1]F 4 TRI _ Granulo'!K31</f>
        <v>1.2480694980694993</v>
      </c>
      <c r="D44" s="20">
        <f>'[1]F 4 TRI _ Granulo'!H31</f>
        <v>1.35</v>
      </c>
      <c r="E44" s="20">
        <f>'[1]F 4 TRI _ Granulo'!E31</f>
        <v>0</v>
      </c>
      <c r="F44" s="20">
        <f t="shared" si="1"/>
        <v>2.5980694980694992</v>
      </c>
      <c r="G44" s="21">
        <f t="shared" si="0"/>
        <v>3.0616506979144018E-2</v>
      </c>
      <c r="H44" s="21">
        <f>G44*J44/I44</f>
        <v>2.2303404283848291E-2</v>
      </c>
      <c r="I44" s="571">
        <f>G44+G45</f>
        <v>5.9169163822199493E-2</v>
      </c>
      <c r="J44" s="571">
        <f>'[1]Calcul sous cat &gt;20'!N16/100</f>
        <v>4.3103342349364936E-2</v>
      </c>
    </row>
    <row r="45" spans="1:10" s="1" customFormat="1" ht="15" customHeight="1" x14ac:dyDescent="0.2">
      <c r="A45" s="570"/>
      <c r="B45" s="18" t="s">
        <v>59</v>
      </c>
      <c r="C45" s="19">
        <f>'[1]F 4 TRI _ Granulo'!K32</f>
        <v>2.4129343629343634</v>
      </c>
      <c r="D45" s="20">
        <f>'[1]F 4 TRI _ Granulo'!H32</f>
        <v>1.0000000000000009E-2</v>
      </c>
      <c r="E45" s="20">
        <f>'[1]F 4 TRI _ Granulo'!E32</f>
        <v>0</v>
      </c>
      <c r="F45" s="20">
        <f t="shared" si="1"/>
        <v>2.4229343629343632</v>
      </c>
      <c r="G45" s="21">
        <f t="shared" si="0"/>
        <v>2.8552656843055475E-2</v>
      </c>
      <c r="H45" s="21">
        <f>G45*J44/I44</f>
        <v>2.0799938065516645E-2</v>
      </c>
      <c r="I45" s="571"/>
      <c r="J45" s="571"/>
    </row>
    <row r="46" spans="1:10" s="1" customFormat="1" ht="15" customHeight="1" x14ac:dyDescent="0.2">
      <c r="A46" s="567" t="s">
        <v>60</v>
      </c>
      <c r="B46" s="18" t="s">
        <v>61</v>
      </c>
      <c r="C46" s="19">
        <f>'[1]F 4 TRI _ Granulo'!K33</f>
        <v>1.0816602316602326</v>
      </c>
      <c r="D46" s="20">
        <f>'[1]F 4 TRI _ Granulo'!H33</f>
        <v>9.000000000000008E-2</v>
      </c>
      <c r="E46" s="20">
        <f>'[1]F 4 TRI _ Granulo'!E33</f>
        <v>0</v>
      </c>
      <c r="F46" s="20">
        <f t="shared" si="1"/>
        <v>1.1716602316602327</v>
      </c>
      <c r="G46" s="21">
        <f t="shared" si="0"/>
        <v>1.3807230209378879E-2</v>
      </c>
      <c r="H46" s="21">
        <f t="shared" ref="H46:H51" si="2">G46*$J$46/$I$46</f>
        <v>1.0384844280410171E-2</v>
      </c>
      <c r="I46" s="571">
        <f>G46+G47+G50+G51+G48+G49</f>
        <v>1.5103506452261646E-2</v>
      </c>
      <c r="J46" s="571">
        <f>'[1]Calcul sous cat &gt;20'!N17/100</f>
        <v>1.1359813678514984E-2</v>
      </c>
    </row>
    <row r="47" spans="1:10" s="1" customFormat="1" ht="15" customHeight="1" x14ac:dyDescent="0.2">
      <c r="A47" s="568"/>
      <c r="B47" s="18" t="s">
        <v>62</v>
      </c>
      <c r="C47" s="19">
        <f>'[1]F 4 TRI _ Granulo'!K34</f>
        <v>0</v>
      </c>
      <c r="D47" s="20">
        <f>'[1]F 4 TRI _ Granulo'!H34</f>
        <v>0.1100000000000001</v>
      </c>
      <c r="E47" s="20">
        <f>'[1]F 4 TRI _ Granulo'!E34</f>
        <v>0</v>
      </c>
      <c r="F47" s="20">
        <f t="shared" si="1"/>
        <v>0.1100000000000001</v>
      </c>
      <c r="G47" s="21">
        <f t="shared" si="0"/>
        <v>1.2962762428827663E-3</v>
      </c>
      <c r="H47" s="21">
        <f t="shared" si="2"/>
        <v>9.7496939810481052E-4</v>
      </c>
      <c r="I47" s="571"/>
      <c r="J47" s="571"/>
    </row>
    <row r="48" spans="1:10" s="1" customFormat="1" ht="15" customHeight="1" x14ac:dyDescent="0.2">
      <c r="A48" s="568"/>
      <c r="B48" s="18" t="s">
        <v>63</v>
      </c>
      <c r="C48" s="19">
        <f>'[1]F 4 TRI _ Granulo'!K35</f>
        <v>0</v>
      </c>
      <c r="D48" s="20">
        <f>'[1]F 4 TRI _ Granulo'!H35</f>
        <v>0</v>
      </c>
      <c r="E48" s="20">
        <f>'[1]F 4 TRI _ Granulo'!E35</f>
        <v>0</v>
      </c>
      <c r="F48" s="20">
        <f t="shared" si="1"/>
        <v>0</v>
      </c>
      <c r="G48" s="21">
        <f t="shared" si="0"/>
        <v>0</v>
      </c>
      <c r="H48" s="21">
        <f t="shared" si="2"/>
        <v>0</v>
      </c>
      <c r="I48" s="571"/>
      <c r="J48" s="571"/>
    </row>
    <row r="49" spans="1:10" s="1" customFormat="1" ht="15" customHeight="1" x14ac:dyDescent="0.2">
      <c r="A49" s="568"/>
      <c r="B49" s="18" t="s">
        <v>64</v>
      </c>
      <c r="C49" s="19">
        <f>'[1]F 4 TRI _ Granulo'!K36</f>
        <v>0</v>
      </c>
      <c r="D49" s="20">
        <f>'[1]F 4 TRI _ Granulo'!H36</f>
        <v>0</v>
      </c>
      <c r="E49" s="20">
        <f>'[1]F 4 TRI _ Granulo'!E36</f>
        <v>0</v>
      </c>
      <c r="F49" s="20">
        <f t="shared" si="1"/>
        <v>0</v>
      </c>
      <c r="G49" s="21">
        <f t="shared" si="0"/>
        <v>0</v>
      </c>
      <c r="H49" s="21">
        <f t="shared" si="2"/>
        <v>0</v>
      </c>
      <c r="I49" s="571"/>
      <c r="J49" s="571"/>
    </row>
    <row r="50" spans="1:10" s="1" customFormat="1" ht="15" customHeight="1" x14ac:dyDescent="0.2">
      <c r="A50" s="568"/>
      <c r="B50" s="18" t="s">
        <v>65</v>
      </c>
      <c r="C50" s="19">
        <f>'[1]F 4 TRI _ Granulo'!K37</f>
        <v>0</v>
      </c>
      <c r="D50" s="20">
        <f>'[1]F 4 TRI _ Granulo'!H37</f>
        <v>0</v>
      </c>
      <c r="E50" s="20">
        <f>'[1]F 4 TRI _ Granulo'!E37</f>
        <v>0</v>
      </c>
      <c r="F50" s="20">
        <f t="shared" si="1"/>
        <v>0</v>
      </c>
      <c r="G50" s="21">
        <f t="shared" si="0"/>
        <v>0</v>
      </c>
      <c r="H50" s="21">
        <f t="shared" si="2"/>
        <v>0</v>
      </c>
      <c r="I50" s="571"/>
      <c r="J50" s="571"/>
    </row>
    <row r="51" spans="1:10" s="1" customFormat="1" ht="15" customHeight="1" x14ac:dyDescent="0.2">
      <c r="A51" s="570"/>
      <c r="B51" s="18" t="s">
        <v>66</v>
      </c>
      <c r="C51" s="19">
        <f>'[1]F 4 TRI _ Granulo'!K38</f>
        <v>0</v>
      </c>
      <c r="D51" s="20">
        <f>'[1]F 4 TRI _ Granulo'!H38</f>
        <v>0</v>
      </c>
      <c r="E51" s="20">
        <f>'[1]F 4 TRI _ Granulo'!E38</f>
        <v>0</v>
      </c>
      <c r="F51" s="20">
        <f t="shared" si="1"/>
        <v>0</v>
      </c>
      <c r="G51" s="21">
        <f t="shared" si="0"/>
        <v>0</v>
      </c>
      <c r="H51" s="21">
        <f t="shared" si="2"/>
        <v>0</v>
      </c>
      <c r="I51" s="571"/>
      <c r="J51" s="571"/>
    </row>
    <row r="52" spans="1:10" s="1" customFormat="1" ht="15" customHeight="1" x14ac:dyDescent="0.2">
      <c r="A52" s="247" t="s">
        <v>67</v>
      </c>
      <c r="B52" s="18" t="s">
        <v>68</v>
      </c>
      <c r="C52" s="19">
        <f>'[1]F 4 TRI _ Granulo'!K39</f>
        <v>0.24961389961389988</v>
      </c>
      <c r="D52" s="20">
        <f>'[1]F 4 TRI _ Granulo'!H39</f>
        <v>0</v>
      </c>
      <c r="E52" s="20">
        <f>'[1]F 4 TRI _ Granulo'!E39</f>
        <v>0</v>
      </c>
      <c r="F52" s="20">
        <f t="shared" si="1"/>
        <v>0.24961389961389988</v>
      </c>
      <c r="G52" s="21">
        <f t="shared" si="0"/>
        <v>2.9415324360256528E-3</v>
      </c>
      <c r="H52" s="21">
        <f>J52</f>
        <v>2.4465936192586304E-3</v>
      </c>
      <c r="I52" s="248">
        <f>G52</f>
        <v>2.9415324360256528E-3</v>
      </c>
      <c r="J52" s="248">
        <f>'[1]Calcul sous cat &gt;20'!N18/100</f>
        <v>2.4465936192586304E-3</v>
      </c>
    </row>
    <row r="53" spans="1:10" s="1" customFormat="1" ht="15" customHeight="1" x14ac:dyDescent="0.2">
      <c r="A53" s="567" t="s">
        <v>69</v>
      </c>
      <c r="B53" s="18" t="s">
        <v>121</v>
      </c>
      <c r="C53" s="19">
        <f>'[1]F 4 TRI _ Granulo'!K40</f>
        <v>0</v>
      </c>
      <c r="D53" s="20">
        <f>'[1]F 4 TRI _ Granulo'!H40</f>
        <v>0.39999999999999991</v>
      </c>
      <c r="E53" s="20">
        <f>'[1]F 4 TRI _ Granulo'!E40</f>
        <v>0</v>
      </c>
      <c r="F53" s="20">
        <f t="shared" si="1"/>
        <v>0.39999999999999991</v>
      </c>
      <c r="G53" s="21">
        <f t="shared" si="0"/>
        <v>4.7137317923009632E-3</v>
      </c>
      <c r="H53" s="243">
        <f>G53*J53/I53</f>
        <v>3.5062744131040984E-3</v>
      </c>
      <c r="I53" s="571">
        <f>SUM(G53:G62)</f>
        <v>4.7137317923009632E-3</v>
      </c>
      <c r="J53" s="571">
        <f>'[1]Calcul sous cat &gt;20'!N19/100</f>
        <v>3.5062744131040984E-3</v>
      </c>
    </row>
    <row r="54" spans="1:10" s="1" customFormat="1" ht="15" customHeight="1" x14ac:dyDescent="0.2">
      <c r="A54" s="568"/>
      <c r="B54" s="18" t="s">
        <v>70</v>
      </c>
      <c r="C54" s="19">
        <f>'[1]F 4 TRI _ Granulo'!K41</f>
        <v>0</v>
      </c>
      <c r="D54" s="20">
        <f>'[1]F 4 TRI _ Granulo'!H41</f>
        <v>0</v>
      </c>
      <c r="E54" s="20">
        <f>'[1]F 4 TRI _ Granulo'!E41</f>
        <v>0</v>
      </c>
      <c r="F54" s="20">
        <f t="shared" si="1"/>
        <v>0</v>
      </c>
      <c r="G54" s="21">
        <f t="shared" si="0"/>
        <v>0</v>
      </c>
      <c r="H54" s="21">
        <f>G54*J53/I53</f>
        <v>0</v>
      </c>
      <c r="I54" s="571"/>
      <c r="J54" s="571"/>
    </row>
    <row r="55" spans="1:10" s="1" customFormat="1" ht="15" customHeight="1" x14ac:dyDescent="0.2">
      <c r="A55" s="568"/>
      <c r="B55" s="18" t="s">
        <v>71</v>
      </c>
      <c r="C55" s="19">
        <f>'[1]F 4 TRI _ Granulo'!K42</f>
        <v>0</v>
      </c>
      <c r="D55" s="20">
        <f>'[1]F 4 TRI _ Granulo'!H42</f>
        <v>0</v>
      </c>
      <c r="E55" s="20">
        <f>'[1]F 4 TRI _ Granulo'!E42</f>
        <v>0</v>
      </c>
      <c r="F55" s="20">
        <f>SUM(C55:E55)</f>
        <v>0</v>
      </c>
      <c r="G55" s="21">
        <f t="shared" si="0"/>
        <v>0</v>
      </c>
      <c r="H55" s="244">
        <f>G55*J53/I53</f>
        <v>0</v>
      </c>
      <c r="I55" s="571"/>
      <c r="J55" s="571"/>
    </row>
    <row r="56" spans="1:10" s="1" customFormat="1" ht="15" customHeight="1" x14ac:dyDescent="0.2">
      <c r="A56" s="568"/>
      <c r="B56" s="18" t="s">
        <v>72</v>
      </c>
      <c r="C56" s="19">
        <f>'[1]F 4 TRI _ Granulo'!K43</f>
        <v>0</v>
      </c>
      <c r="D56" s="20">
        <f>'[1]F 4 TRI _ Granulo'!H43</f>
        <v>0</v>
      </c>
      <c r="E56" s="20">
        <f>'[1]F 4 TRI _ Granulo'!E43</f>
        <v>0</v>
      </c>
      <c r="F56" s="20">
        <f t="shared" si="1"/>
        <v>0</v>
      </c>
      <c r="G56" s="21">
        <f>F56/$F$64</f>
        <v>0</v>
      </c>
      <c r="H56" s="244">
        <f>G56*J53/I53</f>
        <v>0</v>
      </c>
      <c r="I56" s="571"/>
      <c r="J56" s="571"/>
    </row>
    <row r="57" spans="1:10" s="1" customFormat="1" ht="17.25" customHeight="1" x14ac:dyDescent="0.2">
      <c r="A57" s="568"/>
      <c r="B57" s="18" t="s">
        <v>122</v>
      </c>
      <c r="C57" s="19">
        <f>'[1]F 4 TRI _ Granulo'!K44</f>
        <v>0</v>
      </c>
      <c r="D57" s="20">
        <f>'[1]F 4 TRI _ Granulo'!H44</f>
        <v>0</v>
      </c>
      <c r="E57" s="20">
        <f>'[1]F 4 TRI _ Granulo'!E44</f>
        <v>0</v>
      </c>
      <c r="F57" s="20">
        <f t="shared" si="1"/>
        <v>0</v>
      </c>
      <c r="G57" s="21">
        <f t="shared" ref="G57:G62" si="3">F57/$F$64</f>
        <v>0</v>
      </c>
      <c r="H57" s="244">
        <f>G57*J53/I53</f>
        <v>0</v>
      </c>
      <c r="I57" s="571"/>
      <c r="J57" s="571"/>
    </row>
    <row r="58" spans="1:10" s="1" customFormat="1" ht="17.25" customHeight="1" x14ac:dyDescent="0.2">
      <c r="A58" s="568"/>
      <c r="B58" s="18" t="s">
        <v>123</v>
      </c>
      <c r="C58" s="19">
        <f>'[1]F 4 TRI _ Granulo'!K45</f>
        <v>0</v>
      </c>
      <c r="D58" s="20">
        <f>'[1]F 4 TRI _ Granulo'!H45</f>
        <v>0</v>
      </c>
      <c r="E58" s="20">
        <f>'[1]F 4 TRI _ Granulo'!E45</f>
        <v>0</v>
      </c>
      <c r="F58" s="20">
        <f t="shared" si="1"/>
        <v>0</v>
      </c>
      <c r="G58" s="21">
        <f t="shared" si="3"/>
        <v>0</v>
      </c>
      <c r="H58" s="244">
        <f>G58*J53/I53</f>
        <v>0</v>
      </c>
      <c r="I58" s="571"/>
      <c r="J58" s="571"/>
    </row>
    <row r="59" spans="1:10" s="1" customFormat="1" ht="25.5" customHeight="1" x14ac:dyDescent="0.2">
      <c r="A59" s="568"/>
      <c r="B59" s="18" t="s">
        <v>124</v>
      </c>
      <c r="C59" s="19">
        <f>'[1]F 4 TRI _ Granulo'!K46</f>
        <v>0</v>
      </c>
      <c r="D59" s="20">
        <f>'[1]F 4 TRI _ Granulo'!H46</f>
        <v>0</v>
      </c>
      <c r="E59" s="20">
        <f>'[1]F 4 TRI _ Granulo'!E46</f>
        <v>0</v>
      </c>
      <c r="F59" s="20">
        <f t="shared" si="1"/>
        <v>0</v>
      </c>
      <c r="G59" s="21">
        <f t="shared" si="3"/>
        <v>0</v>
      </c>
      <c r="H59" s="244">
        <f>G59*J53/I53</f>
        <v>0</v>
      </c>
      <c r="I59" s="571"/>
      <c r="J59" s="571"/>
    </row>
    <row r="60" spans="1:10" s="1" customFormat="1" ht="12.75" x14ac:dyDescent="0.2">
      <c r="A60" s="568"/>
      <c r="B60" s="18" t="s">
        <v>125</v>
      </c>
      <c r="C60" s="19">
        <f>'[1]F 4 TRI _ Granulo'!K47</f>
        <v>0</v>
      </c>
      <c r="D60" s="20">
        <f>'[1]F 4 TRI _ Granulo'!H47</f>
        <v>0</v>
      </c>
      <c r="E60" s="20">
        <f>'[1]F 4 TRI _ Granulo'!E47</f>
        <v>0</v>
      </c>
      <c r="F60" s="20">
        <f t="shared" si="1"/>
        <v>0</v>
      </c>
      <c r="G60" s="21">
        <f t="shared" si="3"/>
        <v>0</v>
      </c>
      <c r="H60" s="244">
        <f>G60*J53/I53</f>
        <v>0</v>
      </c>
      <c r="I60" s="571"/>
      <c r="J60" s="571"/>
    </row>
    <row r="61" spans="1:10" s="1" customFormat="1" ht="12.75" x14ac:dyDescent="0.2">
      <c r="A61" s="568"/>
      <c r="B61" s="18" t="s">
        <v>126</v>
      </c>
      <c r="C61" s="19">
        <f>'[1]F 4 TRI _ Granulo'!K48</f>
        <v>0</v>
      </c>
      <c r="D61" s="20">
        <f>'[1]F 4 TRI _ Granulo'!H48</f>
        <v>0</v>
      </c>
      <c r="E61" s="20">
        <f>'[1]F 4 TRI _ Granulo'!E48</f>
        <v>0</v>
      </c>
      <c r="F61" s="20">
        <f t="shared" si="1"/>
        <v>0</v>
      </c>
      <c r="G61" s="21">
        <f t="shared" si="3"/>
        <v>0</v>
      </c>
      <c r="H61" s="244">
        <f>G61*J53/I53</f>
        <v>0</v>
      </c>
      <c r="I61" s="571"/>
      <c r="J61" s="571"/>
    </row>
    <row r="62" spans="1:10" x14ac:dyDescent="0.25">
      <c r="A62" s="569"/>
      <c r="B62" s="18" t="s">
        <v>73</v>
      </c>
      <c r="C62" s="19">
        <f>'[1]F 4 TRI _ Granulo'!K49</f>
        <v>0</v>
      </c>
      <c r="D62" s="20">
        <f>'[1]F 4 TRI _ Granulo'!H49</f>
        <v>0</v>
      </c>
      <c r="E62" s="20">
        <f>'[1]F 4 TRI _ Granulo'!E49</f>
        <v>0</v>
      </c>
      <c r="F62" s="20">
        <f t="shared" si="1"/>
        <v>0</v>
      </c>
      <c r="G62" s="21">
        <f t="shared" si="3"/>
        <v>0</v>
      </c>
      <c r="H62" s="244">
        <f>G62*J53/I53</f>
        <v>0</v>
      </c>
      <c r="I62" s="571"/>
      <c r="J62" s="571"/>
    </row>
    <row r="63" spans="1:10" x14ac:dyDescent="0.25">
      <c r="A63" s="22" t="s">
        <v>74</v>
      </c>
      <c r="B63" s="23">
        <f>'[1]F 3 _ Criblage et Tri'!C27+'[1]F 3 _ Criblage et Tri'!D27</f>
        <v>5.2600000000000007</v>
      </c>
      <c r="C63" s="19">
        <f>'[1]F 4 TRI _ Granulo'!K50</f>
        <v>3.3281853281853313</v>
      </c>
      <c r="D63" s="20">
        <f>'[1]F 4 TRI _ Granulo'!H50</f>
        <v>0.30000000000000027</v>
      </c>
      <c r="E63" s="20">
        <f>'[1]F 4 TRI _ Granulo'!E50</f>
        <v>0</v>
      </c>
      <c r="F63" s="19">
        <f>SUM(B63:E63)</f>
        <v>8.8881853281853331</v>
      </c>
      <c r="G63" s="21">
        <f t="shared" si="0"/>
        <v>0.10474130439332546</v>
      </c>
      <c r="H63" s="21">
        <f>J63</f>
        <v>5.1296346646459899E-2</v>
      </c>
      <c r="I63" s="24">
        <f>G63</f>
        <v>0.10474130439332546</v>
      </c>
      <c r="J63" s="24">
        <f>'[1]Calcul sous cat &gt;20'!N20/100</f>
        <v>5.1296346646459899E-2</v>
      </c>
    </row>
    <row r="64" spans="1:10" x14ac:dyDescent="0.25">
      <c r="A64" s="25" t="s">
        <v>25</v>
      </c>
      <c r="B64" s="90">
        <f>B63</f>
        <v>5.2600000000000007</v>
      </c>
      <c r="C64" s="19">
        <f>SUM(C18:C63)</f>
        <v>44.098455598455622</v>
      </c>
      <c r="D64" s="19">
        <f>SUM(D18:D63)</f>
        <v>25.900000000000002</v>
      </c>
      <c r="E64" s="19">
        <f>SUM(E18:E63)</f>
        <v>9.6</v>
      </c>
      <c r="F64" s="19">
        <f>SUM(B64:E64)</f>
        <v>84.85845559845562</v>
      </c>
      <c r="G64" s="21">
        <f t="shared" si="0"/>
        <v>1</v>
      </c>
      <c r="H64" s="21">
        <f>SUM(H18:H63)</f>
        <v>0.99999999999999989</v>
      </c>
      <c r="I64" s="24">
        <f>SUM(I18:I63)</f>
        <v>1.0000000000000002</v>
      </c>
      <c r="J64" s="24">
        <f>SUM(J18:J63)</f>
        <v>1</v>
      </c>
    </row>
    <row r="65" spans="1:10" ht="26.25" x14ac:dyDescent="0.25">
      <c r="A65" s="26" t="s">
        <v>75</v>
      </c>
      <c r="B65" s="235">
        <f>B64/$F$64</f>
        <v>6.1985573068757689E-2</v>
      </c>
      <c r="C65" s="235">
        <f>C64/$F$64</f>
        <v>0.51967073036453182</v>
      </c>
      <c r="D65" s="235">
        <f>D64/$F$64</f>
        <v>0.30521413355148747</v>
      </c>
      <c r="E65" s="235">
        <f>E64/$F$64</f>
        <v>0.11312956301522313</v>
      </c>
      <c r="F65" s="235">
        <f>F64/$F$64</f>
        <v>1</v>
      </c>
      <c r="G65" s="1"/>
      <c r="H65" s="1"/>
      <c r="I65" s="1"/>
      <c r="J65" s="1"/>
    </row>
  </sheetData>
  <mergeCells count="40">
    <mergeCell ref="B2:F2"/>
    <mergeCell ref="D12:F12"/>
    <mergeCell ref="A14:J14"/>
    <mergeCell ref="G16:G17"/>
    <mergeCell ref="H16:H17"/>
    <mergeCell ref="I16:I17"/>
    <mergeCell ref="J16:J17"/>
    <mergeCell ref="B11:C11"/>
    <mergeCell ref="D11:F11"/>
    <mergeCell ref="B3:F3"/>
    <mergeCell ref="A7:J7"/>
    <mergeCell ref="D9:F9"/>
    <mergeCell ref="D10:F10"/>
    <mergeCell ref="I18:I22"/>
    <mergeCell ref="J18:J22"/>
    <mergeCell ref="A23:A27"/>
    <mergeCell ref="I23:I27"/>
    <mergeCell ref="J23:J27"/>
    <mergeCell ref="A18:A22"/>
    <mergeCell ref="A28:A30"/>
    <mergeCell ref="I28:I30"/>
    <mergeCell ref="J28:J30"/>
    <mergeCell ref="A31:A34"/>
    <mergeCell ref="I31:I34"/>
    <mergeCell ref="J31:J34"/>
    <mergeCell ref="A36:A37"/>
    <mergeCell ref="I36:I37"/>
    <mergeCell ref="J36:J37"/>
    <mergeCell ref="A38:A42"/>
    <mergeCell ref="I38:I42"/>
    <mergeCell ref="J38:J42"/>
    <mergeCell ref="A53:A62"/>
    <mergeCell ref="A44:A45"/>
    <mergeCell ref="I44:I45"/>
    <mergeCell ref="J44:J45"/>
    <mergeCell ref="A46:A51"/>
    <mergeCell ref="I46:I51"/>
    <mergeCell ref="J46:J51"/>
    <mergeCell ref="I53:I62"/>
    <mergeCell ref="J53:J62"/>
  </mergeCells>
  <pageMargins left="0.70866141732283472" right="0.70866141732283472" top="0.74803149606299213" bottom="0.74803149606299213" header="0.31496062992125984" footer="0.31496062992125984"/>
  <pageSetup paperSize="9" scale="62" orientation="portrait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workbookViewId="0">
      <selection sqref="A1:J23"/>
    </sheetView>
  </sheetViews>
  <sheetFormatPr baseColWidth="10" defaultRowHeight="15" x14ac:dyDescent="0.25"/>
  <sheetData>
    <row r="1" spans="1:10" x14ac:dyDescent="0.2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5.75" x14ac:dyDescent="0.25">
      <c r="A2" s="1" t="s">
        <v>0</v>
      </c>
      <c r="B2" s="582" t="str">
        <f>'[11]F 1 _ Echant et Séchage'!D5</f>
        <v>ISS-E15-PC-BAN</v>
      </c>
      <c r="C2" s="582"/>
      <c r="D2" s="582"/>
      <c r="E2" s="582"/>
      <c r="F2" s="582"/>
      <c r="G2" s="2"/>
      <c r="H2" s="2"/>
      <c r="I2" s="2"/>
      <c r="J2" s="2"/>
    </row>
    <row r="3" spans="1:10" x14ac:dyDescent="0.25">
      <c r="A3" s="1" t="s">
        <v>1</v>
      </c>
      <c r="B3" s="589" t="str">
        <f>'[11]F 1 _ Echant et Séchage'!D6</f>
        <v>DN 162 KP - CA MONT VALERIEN - SURESNES</v>
      </c>
      <c r="C3" s="589"/>
      <c r="D3" s="589"/>
      <c r="E3" s="589"/>
      <c r="F3" s="589"/>
      <c r="G3" s="3"/>
      <c r="H3" s="3"/>
      <c r="I3" s="3"/>
      <c r="J3" s="3"/>
    </row>
    <row r="4" spans="1:10" x14ac:dyDescent="0.25">
      <c r="A4" s="1" t="s">
        <v>2</v>
      </c>
      <c r="B4" s="260"/>
      <c r="C4" s="260" t="str">
        <f>'[11]F 1 _ Echant et Séchage'!D8</f>
        <v>ISSEANE</v>
      </c>
      <c r="D4" s="260"/>
      <c r="E4" s="260"/>
      <c r="F4" s="260"/>
      <c r="G4" s="3"/>
      <c r="H4" s="3"/>
      <c r="I4" s="3"/>
      <c r="J4" s="3"/>
    </row>
    <row r="5" spans="1:10" x14ac:dyDescent="0.25">
      <c r="A5" s="1" t="s">
        <v>3</v>
      </c>
      <c r="B5" s="260"/>
      <c r="C5" s="260" t="str">
        <f>'[11]F 1 _ Echant et Séchage'!E15</f>
        <v>sec, ensoleillé</v>
      </c>
      <c r="D5" s="260"/>
      <c r="E5" s="260"/>
      <c r="F5" s="260"/>
      <c r="G5" s="3"/>
      <c r="H5" s="3"/>
      <c r="I5" s="3"/>
      <c r="J5" s="3"/>
    </row>
    <row r="6" spans="1:10" x14ac:dyDescent="0.25">
      <c r="A6" s="1"/>
      <c r="B6" s="1"/>
      <c r="C6" s="1"/>
      <c r="D6" s="1"/>
      <c r="E6" s="1"/>
      <c r="F6" s="1"/>
      <c r="G6" s="1"/>
      <c r="H6" s="1"/>
      <c r="I6" s="1"/>
      <c r="J6" s="1"/>
    </row>
    <row r="7" spans="1:10" ht="18.75" x14ac:dyDescent="0.25">
      <c r="A7" s="584" t="s">
        <v>4</v>
      </c>
      <c r="B7" s="584"/>
      <c r="C7" s="584"/>
      <c r="D7" s="584"/>
      <c r="E7" s="584"/>
      <c r="F7" s="584"/>
      <c r="G7" s="584"/>
      <c r="H7" s="584"/>
      <c r="I7" s="584"/>
      <c r="J7" s="584"/>
    </row>
    <row r="8" spans="1:10" x14ac:dyDescent="0.25">
      <c r="A8" s="1"/>
      <c r="B8" s="1"/>
      <c r="C8" s="1"/>
      <c r="D8" s="1"/>
      <c r="E8" s="1"/>
      <c r="F8" s="1"/>
      <c r="G8" s="1"/>
      <c r="H8" s="1"/>
      <c r="I8" s="4"/>
      <c r="J8" s="1"/>
    </row>
    <row r="9" spans="1:10" x14ac:dyDescent="0.25">
      <c r="A9" s="1" t="s">
        <v>5</v>
      </c>
      <c r="B9" s="5">
        <f>'[11]F 1 _ Echant et Séchage'!B12</f>
        <v>42194</v>
      </c>
      <c r="C9" s="1"/>
      <c r="D9" s="583" t="s">
        <v>6</v>
      </c>
      <c r="E9" s="583"/>
      <c r="F9" s="583"/>
      <c r="G9" s="6">
        <f>'[11]F 1 _ Echant et Séchage'!G19</f>
        <v>128.19999999999999</v>
      </c>
      <c r="H9" s="6"/>
      <c r="I9" s="7"/>
      <c r="J9" s="1" t="s">
        <v>7</v>
      </c>
    </row>
    <row r="10" spans="1:10" x14ac:dyDescent="0.25">
      <c r="A10" s="1" t="s">
        <v>8</v>
      </c>
      <c r="B10" s="8" t="str">
        <f>'[11]F 1 _ Echant et Séchage'!E12</f>
        <v>19H15</v>
      </c>
      <c r="C10" s="1"/>
      <c r="D10" s="583" t="s">
        <v>9</v>
      </c>
      <c r="E10" s="583"/>
      <c r="F10" s="583"/>
      <c r="G10" s="260">
        <f>'[11]F 1 _ Echant et Séchage'!H26</f>
        <v>0.5</v>
      </c>
      <c r="H10" s="260"/>
      <c r="I10" s="9"/>
      <c r="J10" s="1" t="s">
        <v>10</v>
      </c>
    </row>
    <row r="11" spans="1:10" x14ac:dyDescent="0.25">
      <c r="A11" s="1"/>
      <c r="B11" s="583"/>
      <c r="C11" s="583"/>
      <c r="D11" s="583" t="s">
        <v>11</v>
      </c>
      <c r="E11" s="583"/>
      <c r="F11" s="583"/>
      <c r="G11" s="10">
        <f>G9/1000/G10</f>
        <v>0.25639999999999996</v>
      </c>
      <c r="H11" s="10"/>
      <c r="I11" s="3"/>
      <c r="J11" s="3" t="s">
        <v>12</v>
      </c>
    </row>
    <row r="12" spans="1:10" x14ac:dyDescent="0.25">
      <c r="A12" s="1"/>
      <c r="B12" s="7"/>
      <c r="C12" s="1"/>
      <c r="D12" s="583" t="s">
        <v>13</v>
      </c>
      <c r="E12" s="583"/>
      <c r="F12" s="583"/>
      <c r="G12" s="236">
        <f>'[11]F 1 _ Echant et Séchage'!D51</f>
        <v>0.37085803432137276</v>
      </c>
      <c r="H12" s="11"/>
      <c r="I12" s="11"/>
      <c r="J12" s="1"/>
    </row>
    <row r="13" spans="1:10" x14ac:dyDescent="0.25">
      <c r="A13" s="1"/>
      <c r="B13" s="12"/>
      <c r="C13" s="1"/>
      <c r="D13" s="1"/>
      <c r="E13" s="1"/>
      <c r="F13" s="1"/>
      <c r="G13" s="234"/>
      <c r="H13" s="234"/>
      <c r="I13" s="234"/>
      <c r="J13" s="1"/>
    </row>
    <row r="14" spans="1:10" ht="18.75" x14ac:dyDescent="0.25">
      <c r="A14" s="584" t="s">
        <v>14</v>
      </c>
      <c r="B14" s="584"/>
      <c r="C14" s="584"/>
      <c r="D14" s="584"/>
      <c r="E14" s="584"/>
      <c r="F14" s="584"/>
      <c r="G14" s="584"/>
      <c r="H14" s="584"/>
      <c r="I14" s="584"/>
      <c r="J14" s="584"/>
    </row>
    <row r="15" spans="1:10" x14ac:dyDescent="0.25">
      <c r="A15" s="13"/>
      <c r="B15" s="13"/>
      <c r="C15" s="13"/>
      <c r="D15" s="13"/>
      <c r="E15" s="13"/>
      <c r="F15" s="13"/>
      <c r="G15" s="13"/>
      <c r="H15" s="13"/>
      <c r="I15" s="13"/>
      <c r="J15" s="13"/>
    </row>
    <row r="16" spans="1:10" ht="15.75" customHeight="1" thickBot="1" x14ac:dyDescent="0.3">
      <c r="A16" s="1"/>
      <c r="B16" s="1"/>
      <c r="C16" s="14" t="s">
        <v>15</v>
      </c>
      <c r="D16" s="15"/>
      <c r="E16" s="15"/>
      <c r="F16" s="15"/>
      <c r="G16" s="585" t="s">
        <v>16</v>
      </c>
      <c r="H16" s="650"/>
      <c r="I16" s="651"/>
      <c r="J16" s="650"/>
    </row>
    <row r="17" spans="1:10" ht="26.25" thickBot="1" x14ac:dyDescent="0.3">
      <c r="A17" s="138" t="s">
        <v>20</v>
      </c>
      <c r="B17" s="139" t="s">
        <v>21</v>
      </c>
      <c r="C17" s="16" t="s">
        <v>22</v>
      </c>
      <c r="D17" s="16" t="s">
        <v>23</v>
      </c>
      <c r="E17" s="16" t="s">
        <v>24</v>
      </c>
      <c r="F17" s="17" t="s">
        <v>25</v>
      </c>
      <c r="G17" s="586"/>
      <c r="H17" s="650"/>
      <c r="I17" s="651"/>
      <c r="J17" s="650"/>
    </row>
    <row r="18" spans="1:10" ht="25.5" x14ac:dyDescent="0.25">
      <c r="A18" s="259" t="s">
        <v>109</v>
      </c>
      <c r="B18" s="18" t="s">
        <v>111</v>
      </c>
      <c r="C18" s="19">
        <f>'[11]F 4 TRI _ Granulo'!K5</f>
        <v>37.5423569023569</v>
      </c>
      <c r="D18" s="20">
        <f>'[11]F 4 TRI _ Granulo'!H5</f>
        <v>28.500000000000007</v>
      </c>
      <c r="E18" s="20">
        <f>'[11]F 4 TRI _ Granulo'!E5</f>
        <v>0</v>
      </c>
      <c r="F18" s="20">
        <f>SUM(C18:E18)</f>
        <v>66.042356902356914</v>
      </c>
      <c r="G18" s="21">
        <f>F18/$F$21</f>
        <v>0.85858498312996512</v>
      </c>
      <c r="H18" s="98"/>
      <c r="I18" s="99"/>
      <c r="J18" s="99"/>
    </row>
    <row r="19" spans="1:10" ht="25.5" x14ac:dyDescent="0.25">
      <c r="A19" s="258" t="s">
        <v>110</v>
      </c>
      <c r="B19" s="18" t="s">
        <v>112</v>
      </c>
      <c r="C19" s="19">
        <f>'[11]F 4 TRI _ Granulo'!K6</f>
        <v>0.93521885521885595</v>
      </c>
      <c r="D19" s="20">
        <f>'[11]F 4 TRI _ Granulo'!H6</f>
        <v>1.6000000000000005</v>
      </c>
      <c r="E19" s="20">
        <f>'[11]F 4 TRI _ Granulo'!E6</f>
        <v>0</v>
      </c>
      <c r="F19" s="20">
        <f>SUM(C19:E19)</f>
        <v>2.5352188552188566</v>
      </c>
      <c r="G19" s="21">
        <f>F19/$F$21</f>
        <v>3.2959163484384511E-2</v>
      </c>
      <c r="H19" s="98"/>
      <c r="I19" s="100"/>
      <c r="J19" s="100"/>
    </row>
    <row r="20" spans="1:10" x14ac:dyDescent="0.25">
      <c r="A20" s="22" t="s">
        <v>74</v>
      </c>
      <c r="B20" s="23">
        <f>'[11]F 3 _ Criblage et Tri'!C27+'[11]F 3 _ Criblage et Tri'!D27</f>
        <v>6.98</v>
      </c>
      <c r="C20" s="19">
        <f>'[11]F 4 TRI _ Granulo'!K7</f>
        <v>1.2024242424242435</v>
      </c>
      <c r="D20" s="20">
        <f>'[11]F 4 TRI _ Granulo'!H7</f>
        <v>0.16000000000000014</v>
      </c>
      <c r="E20" s="20">
        <f>'[11]F 4 TRI _ Granulo'!E7</f>
        <v>0</v>
      </c>
      <c r="F20" s="19">
        <f>SUM(B20:E20)</f>
        <v>8.3424242424242436</v>
      </c>
      <c r="G20" s="21">
        <f>F20/$F$21</f>
        <v>0.10845585338565059</v>
      </c>
      <c r="H20" s="98"/>
      <c r="I20" s="101"/>
      <c r="J20" s="101"/>
    </row>
    <row r="21" spans="1:10" x14ac:dyDescent="0.25">
      <c r="A21" s="25" t="s">
        <v>25</v>
      </c>
      <c r="B21" s="90">
        <f>B20</f>
        <v>6.98</v>
      </c>
      <c r="C21" s="19">
        <f>SUM(C18:C20)</f>
        <v>39.68</v>
      </c>
      <c r="D21" s="19">
        <f>SUM(D18:D20)</f>
        <v>30.260000000000009</v>
      </c>
      <c r="E21" s="19">
        <f>SUM(E18:E20)</f>
        <v>0</v>
      </c>
      <c r="F21" s="19">
        <f>SUM(B21:E21)</f>
        <v>76.92</v>
      </c>
      <c r="G21" s="21">
        <f>F21/$F$21</f>
        <v>1</v>
      </c>
      <c r="H21" s="98"/>
      <c r="I21" s="101"/>
      <c r="J21" s="101"/>
    </row>
    <row r="22" spans="1:10" ht="51.75" x14ac:dyDescent="0.25">
      <c r="A22" s="26" t="s">
        <v>75</v>
      </c>
      <c r="B22" s="235">
        <f>B21/$F$21</f>
        <v>9.0743629745189805E-2</v>
      </c>
      <c r="C22" s="235">
        <f>C21/$F$21</f>
        <v>0.515860634425377</v>
      </c>
      <c r="D22" s="235">
        <f>D21/$F$21</f>
        <v>0.39339573582943327</v>
      </c>
      <c r="E22" s="235">
        <f>E21/$F$21</f>
        <v>0</v>
      </c>
      <c r="F22" s="235">
        <f>F21/$F$21</f>
        <v>1</v>
      </c>
      <c r="G22" s="1"/>
      <c r="H22" s="1"/>
      <c r="I22" s="1"/>
      <c r="J22" s="1"/>
    </row>
    <row r="23" spans="1:10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</row>
  </sheetData>
  <mergeCells count="13">
    <mergeCell ref="B2:F2"/>
    <mergeCell ref="D12:F12"/>
    <mergeCell ref="A14:J14"/>
    <mergeCell ref="G16:G17"/>
    <mergeCell ref="B3:F3"/>
    <mergeCell ref="A7:J7"/>
    <mergeCell ref="D9:F9"/>
    <mergeCell ref="D10:F10"/>
    <mergeCell ref="B11:C11"/>
    <mergeCell ref="D11:F11"/>
    <mergeCell ref="H16:H17"/>
    <mergeCell ref="I16:I17"/>
    <mergeCell ref="J16:J17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workbookViewId="0">
      <selection activeCell="L32" sqref="L32"/>
    </sheetView>
  </sheetViews>
  <sheetFormatPr baseColWidth="10" defaultRowHeight="15" x14ac:dyDescent="0.25"/>
  <sheetData>
    <row r="1" spans="1:10" x14ac:dyDescent="0.2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5.75" x14ac:dyDescent="0.25">
      <c r="A2" s="1" t="s">
        <v>0</v>
      </c>
      <c r="B2" s="582" t="str">
        <f>'[12]F 1 _ Echant et Séchage'!D5</f>
        <v>ISS-E15-PC-PAR</v>
      </c>
      <c r="C2" s="582"/>
      <c r="D2" s="582"/>
      <c r="E2" s="582"/>
      <c r="F2" s="582"/>
      <c r="G2" s="2"/>
      <c r="H2" s="2"/>
      <c r="I2" s="2"/>
      <c r="J2" s="2"/>
    </row>
    <row r="3" spans="1:10" x14ac:dyDescent="0.25">
      <c r="A3" s="1" t="s">
        <v>1</v>
      </c>
      <c r="B3" s="589" t="str">
        <f>'[12]F 1 _ Echant et Séchage'!D6</f>
        <v>AX 233 XP - PARIS 7E</v>
      </c>
      <c r="C3" s="589"/>
      <c r="D3" s="589"/>
      <c r="E3" s="589"/>
      <c r="F3" s="589"/>
      <c r="G3" s="3"/>
      <c r="H3" s="3"/>
      <c r="I3" s="3"/>
      <c r="J3" s="3"/>
    </row>
    <row r="4" spans="1:10" x14ac:dyDescent="0.25">
      <c r="A4" s="1" t="s">
        <v>2</v>
      </c>
      <c r="B4" s="260"/>
      <c r="C4" s="260" t="str">
        <f>'[12]F 1 _ Echant et Séchage'!D8</f>
        <v>ISSEANE</v>
      </c>
      <c r="D4" s="260"/>
      <c r="E4" s="260"/>
      <c r="F4" s="260"/>
      <c r="G4" s="3"/>
      <c r="H4" s="3"/>
      <c r="I4" s="3"/>
      <c r="J4" s="3"/>
    </row>
    <row r="5" spans="1:10" x14ac:dyDescent="0.25">
      <c r="A5" s="1" t="s">
        <v>3</v>
      </c>
      <c r="B5" s="260"/>
      <c r="C5" s="260" t="str">
        <f>'[12]F 1 _ Echant et Séchage'!E15</f>
        <v>sec, ensoleillé</v>
      </c>
      <c r="D5" s="260"/>
      <c r="E5" s="260"/>
      <c r="F5" s="260"/>
      <c r="G5" s="3"/>
      <c r="H5" s="3"/>
      <c r="I5" s="3"/>
      <c r="J5" s="3"/>
    </row>
    <row r="6" spans="1:10" x14ac:dyDescent="0.25">
      <c r="A6" s="1"/>
      <c r="B6" s="1"/>
      <c r="C6" s="1"/>
      <c r="D6" s="1"/>
      <c r="E6" s="1"/>
      <c r="F6" s="1"/>
      <c r="G6" s="1"/>
      <c r="H6" s="1"/>
      <c r="I6" s="1"/>
      <c r="J6" s="1"/>
    </row>
    <row r="7" spans="1:10" ht="18.75" x14ac:dyDescent="0.25">
      <c r="A7" s="584" t="s">
        <v>4</v>
      </c>
      <c r="B7" s="584"/>
      <c r="C7" s="584"/>
      <c r="D7" s="584"/>
      <c r="E7" s="584"/>
      <c r="F7" s="584"/>
      <c r="G7" s="584"/>
      <c r="H7" s="584"/>
      <c r="I7" s="584"/>
      <c r="J7" s="584"/>
    </row>
    <row r="8" spans="1:10" x14ac:dyDescent="0.25">
      <c r="A8" s="1"/>
      <c r="B8" s="1"/>
      <c r="C8" s="1"/>
      <c r="D8" s="1"/>
      <c r="E8" s="1"/>
      <c r="F8" s="1"/>
      <c r="G8" s="1"/>
      <c r="H8" s="1"/>
      <c r="I8" s="4"/>
      <c r="J8" s="1"/>
    </row>
    <row r="9" spans="1:10" x14ac:dyDescent="0.25">
      <c r="A9" s="1" t="s">
        <v>5</v>
      </c>
      <c r="B9" s="5">
        <f>'[12]F 1 _ Echant et Séchage'!B12</f>
        <v>42194</v>
      </c>
      <c r="C9" s="1"/>
      <c r="D9" s="583" t="s">
        <v>6</v>
      </c>
      <c r="E9" s="583"/>
      <c r="F9" s="583"/>
      <c r="G9" s="6">
        <f>'[12]F 1 _ Echant et Séchage'!G19</f>
        <v>126.4</v>
      </c>
      <c r="H9" s="6"/>
      <c r="I9" s="7"/>
      <c r="J9" s="1" t="s">
        <v>7</v>
      </c>
    </row>
    <row r="10" spans="1:10" x14ac:dyDescent="0.25">
      <c r="A10" s="1" t="s">
        <v>8</v>
      </c>
      <c r="B10" s="8" t="str">
        <f>'[12]F 1 _ Echant et Séchage'!E12</f>
        <v>18H30</v>
      </c>
      <c r="C10" s="1"/>
      <c r="D10" s="583" t="s">
        <v>9</v>
      </c>
      <c r="E10" s="583"/>
      <c r="F10" s="583"/>
      <c r="G10" s="260">
        <f>'[12]F 1 _ Echant et Séchage'!H26</f>
        <v>0.45</v>
      </c>
      <c r="H10" s="260"/>
      <c r="I10" s="9"/>
      <c r="J10" s="1" t="s">
        <v>10</v>
      </c>
    </row>
    <row r="11" spans="1:10" x14ac:dyDescent="0.25">
      <c r="A11" s="1"/>
      <c r="B11" s="583"/>
      <c r="C11" s="583"/>
      <c r="D11" s="583" t="s">
        <v>11</v>
      </c>
      <c r="E11" s="583"/>
      <c r="F11" s="583"/>
      <c r="G11" s="10">
        <f>G9/1000/G10</f>
        <v>0.28088888888888891</v>
      </c>
      <c r="H11" s="10"/>
      <c r="I11" s="3"/>
      <c r="J11" s="3" t="s">
        <v>12</v>
      </c>
    </row>
    <row r="12" spans="1:10" x14ac:dyDescent="0.25">
      <c r="A12" s="1"/>
      <c r="B12" s="7"/>
      <c r="C12" s="1"/>
      <c r="D12" s="583" t="s">
        <v>13</v>
      </c>
      <c r="E12" s="583"/>
      <c r="F12" s="583"/>
      <c r="G12" s="236">
        <f>'[12]F 1 _ Echant et Séchage'!D51</f>
        <v>0.39145569620253168</v>
      </c>
      <c r="H12" s="11"/>
      <c r="I12" s="11"/>
      <c r="J12" s="1"/>
    </row>
    <row r="13" spans="1:10" x14ac:dyDescent="0.25">
      <c r="A13" s="1"/>
      <c r="B13" s="12"/>
      <c r="C13" s="1"/>
      <c r="D13" s="1"/>
      <c r="E13" s="1"/>
      <c r="F13" s="1"/>
      <c r="G13" s="234"/>
      <c r="H13" s="234"/>
      <c r="I13" s="234"/>
      <c r="J13" s="1"/>
    </row>
    <row r="14" spans="1:10" ht="18.75" x14ac:dyDescent="0.25">
      <c r="A14" s="584" t="s">
        <v>14</v>
      </c>
      <c r="B14" s="584"/>
      <c r="C14" s="584"/>
      <c r="D14" s="584"/>
      <c r="E14" s="584"/>
      <c r="F14" s="584"/>
      <c r="G14" s="584"/>
      <c r="H14" s="584"/>
      <c r="I14" s="584"/>
      <c r="J14" s="584"/>
    </row>
    <row r="15" spans="1:10" x14ac:dyDescent="0.25">
      <c r="A15" s="13"/>
      <c r="B15" s="13"/>
      <c r="C15" s="13"/>
      <c r="D15" s="13"/>
      <c r="E15" s="13"/>
      <c r="F15" s="13"/>
      <c r="G15" s="13"/>
      <c r="H15" s="13"/>
      <c r="I15" s="13"/>
      <c r="J15" s="13"/>
    </row>
    <row r="16" spans="1:10" ht="15.75" customHeight="1" thickBot="1" x14ac:dyDescent="0.3">
      <c r="A16" s="1"/>
      <c r="B16" s="1"/>
      <c r="C16" s="14" t="s">
        <v>15</v>
      </c>
      <c r="D16" s="15"/>
      <c r="E16" s="15"/>
      <c r="F16" s="15"/>
      <c r="G16" s="585" t="s">
        <v>16</v>
      </c>
      <c r="H16" s="650"/>
      <c r="I16" s="651"/>
      <c r="J16" s="650"/>
    </row>
    <row r="17" spans="1:10" ht="26.25" thickBot="1" x14ac:dyDescent="0.3">
      <c r="A17" s="138" t="s">
        <v>20</v>
      </c>
      <c r="B17" s="139" t="s">
        <v>21</v>
      </c>
      <c r="C17" s="16" t="s">
        <v>22</v>
      </c>
      <c r="D17" s="16" t="s">
        <v>23</v>
      </c>
      <c r="E17" s="16" t="s">
        <v>24</v>
      </c>
      <c r="F17" s="17" t="s">
        <v>25</v>
      </c>
      <c r="G17" s="586"/>
      <c r="H17" s="650"/>
      <c r="I17" s="651"/>
      <c r="J17" s="650"/>
    </row>
    <row r="18" spans="1:10" ht="25.5" x14ac:dyDescent="0.25">
      <c r="A18" s="259" t="s">
        <v>109</v>
      </c>
      <c r="B18" s="18" t="s">
        <v>111</v>
      </c>
      <c r="C18" s="19">
        <f>'[12]F 4 TRI _ Granulo'!K5</f>
        <v>26.018937499999996</v>
      </c>
      <c r="D18" s="20">
        <f>'[12]F 4 TRI _ Granulo'!H5</f>
        <v>23.480000000000004</v>
      </c>
      <c r="E18" s="20">
        <f>'[12]F 4 TRI _ Granulo'!E5</f>
        <v>3</v>
      </c>
      <c r="F18" s="20">
        <f>SUM(C18:E18)</f>
        <v>52.498937499999997</v>
      </c>
      <c r="G18" s="21">
        <f>F18/$F$21</f>
        <v>0.67485100755687744</v>
      </c>
      <c r="H18" s="98"/>
      <c r="I18" s="99"/>
      <c r="J18" s="99"/>
    </row>
    <row r="19" spans="1:10" ht="25.5" x14ac:dyDescent="0.25">
      <c r="A19" s="258" t="s">
        <v>110</v>
      </c>
      <c r="B19" s="18" t="s">
        <v>112</v>
      </c>
      <c r="C19" s="19">
        <f>'[12]F 4 TRI _ Granulo'!K6</f>
        <v>9.865000000000002</v>
      </c>
      <c r="D19" s="20">
        <f>'[12]F 4 TRI _ Granulo'!H6</f>
        <v>5.56</v>
      </c>
      <c r="E19" s="20">
        <f>'[12]F 4 TRI _ Granulo'!E6</f>
        <v>0</v>
      </c>
      <c r="F19" s="20">
        <f>SUM(C19:E19)</f>
        <v>15.425000000000001</v>
      </c>
      <c r="G19" s="21">
        <f>F19/$F$21</f>
        <v>0.19828166601590433</v>
      </c>
      <c r="H19" s="98"/>
      <c r="I19" s="100"/>
      <c r="J19" s="100"/>
    </row>
    <row r="20" spans="1:10" x14ac:dyDescent="0.25">
      <c r="A20" s="22" t="s">
        <v>74</v>
      </c>
      <c r="B20" s="23">
        <f>'[12]F 3 _ Criblage et Tri'!C27+'[12]F 3 _ Criblage et Tri'!D27</f>
        <v>6.32</v>
      </c>
      <c r="C20" s="19">
        <f>'[12]F 4 TRI _ Granulo'!K7</f>
        <v>3.3294375</v>
      </c>
      <c r="D20" s="20">
        <f>'[12]F 4 TRI _ Granulo'!H7</f>
        <v>0.2200000000000002</v>
      </c>
      <c r="E20" s="20">
        <f>'[12]F 4 TRI _ Granulo'!E7</f>
        <v>0</v>
      </c>
      <c r="F20" s="19">
        <f>SUM(B20:E20)</f>
        <v>9.8694375000000019</v>
      </c>
      <c r="G20" s="21">
        <f>F20/$F$21</f>
        <v>0.12686732642721829</v>
      </c>
      <c r="H20" s="98"/>
      <c r="I20" s="101"/>
      <c r="J20" s="101"/>
    </row>
    <row r="21" spans="1:10" x14ac:dyDescent="0.25">
      <c r="A21" s="25" t="s">
        <v>25</v>
      </c>
      <c r="B21" s="90">
        <f>B20</f>
        <v>6.32</v>
      </c>
      <c r="C21" s="19">
        <f>SUM(C18:C20)</f>
        <v>39.213374999999999</v>
      </c>
      <c r="D21" s="19">
        <f>SUM(D18:D20)</f>
        <v>29.26</v>
      </c>
      <c r="E21" s="19">
        <f>SUM(E18:E20)</f>
        <v>3</v>
      </c>
      <c r="F21" s="19">
        <f>SUM(B21:E21)</f>
        <v>77.793374999999997</v>
      </c>
      <c r="G21" s="21">
        <f>F21/$F$21</f>
        <v>1</v>
      </c>
      <c r="H21" s="98"/>
      <c r="I21" s="101"/>
      <c r="J21" s="101"/>
    </row>
    <row r="22" spans="1:10" ht="51.75" x14ac:dyDescent="0.25">
      <c r="A22" s="26" t="s">
        <v>75</v>
      </c>
      <c r="B22" s="235">
        <f>B21/$F$21</f>
        <v>8.1240851165025302E-2</v>
      </c>
      <c r="C22" s="235">
        <f>C21/$F$21</f>
        <v>0.50407088007172851</v>
      </c>
      <c r="D22" s="235">
        <f>D21/$F$21</f>
        <v>0.37612457358997475</v>
      </c>
      <c r="E22" s="235">
        <f>E21/$F$21</f>
        <v>3.8563695173271503E-2</v>
      </c>
      <c r="F22" s="235">
        <f>F21/$F$21</f>
        <v>1</v>
      </c>
      <c r="G22" s="1"/>
      <c r="H22" s="1"/>
      <c r="I22" s="1"/>
      <c r="J22" s="1"/>
    </row>
    <row r="23" spans="1:10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</row>
    <row r="24" spans="1:10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</row>
  </sheetData>
  <mergeCells count="13">
    <mergeCell ref="B2:F2"/>
    <mergeCell ref="D12:F12"/>
    <mergeCell ref="A14:J14"/>
    <mergeCell ref="G16:G17"/>
    <mergeCell ref="B3:F3"/>
    <mergeCell ref="A7:J7"/>
    <mergeCell ref="D9:F9"/>
    <mergeCell ref="D10:F10"/>
    <mergeCell ref="B11:C11"/>
    <mergeCell ref="D11:F11"/>
    <mergeCell ref="H16:H17"/>
    <mergeCell ref="I16:I17"/>
    <mergeCell ref="J16:J17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workbookViewId="0">
      <selection activeCell="N30" sqref="N30"/>
    </sheetView>
  </sheetViews>
  <sheetFormatPr baseColWidth="10" defaultRowHeight="15" x14ac:dyDescent="0.25"/>
  <sheetData>
    <row r="1" spans="1:10" x14ac:dyDescent="0.2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5.75" x14ac:dyDescent="0.25">
      <c r="A2" s="1" t="s">
        <v>0</v>
      </c>
      <c r="B2" s="582" t="str">
        <f>'[13]F 1 _ Echant et Séchage'!D5</f>
        <v>IVR-E15-PC-BAN</v>
      </c>
      <c r="C2" s="582"/>
      <c r="D2" s="582"/>
      <c r="E2" s="582"/>
      <c r="F2" s="582"/>
      <c r="G2" s="2"/>
      <c r="H2" s="2"/>
      <c r="I2" s="2"/>
      <c r="J2" s="2"/>
    </row>
    <row r="3" spans="1:10" x14ac:dyDescent="0.25">
      <c r="A3" s="1" t="s">
        <v>1</v>
      </c>
      <c r="B3" s="589" t="str">
        <f>'[13]F 1 _ Echant et Séchage'!D6</f>
        <v>DJ 740 PY - IVRY-SUR-SEINE</v>
      </c>
      <c r="C3" s="589"/>
      <c r="D3" s="589"/>
      <c r="E3" s="589"/>
      <c r="F3" s="589"/>
      <c r="G3" s="3"/>
      <c r="H3" s="3"/>
      <c r="I3" s="3"/>
      <c r="J3" s="3"/>
    </row>
    <row r="4" spans="1:10" x14ac:dyDescent="0.25">
      <c r="A4" s="1" t="s">
        <v>2</v>
      </c>
      <c r="B4" s="260"/>
      <c r="C4" s="260" t="str">
        <f>'[13]F 1 _ Echant et Séchage'!D8</f>
        <v>IVRY</v>
      </c>
      <c r="D4" s="260"/>
      <c r="E4" s="260"/>
      <c r="F4" s="260"/>
      <c r="G4" s="3"/>
      <c r="H4" s="3"/>
      <c r="I4" s="3"/>
      <c r="J4" s="3"/>
    </row>
    <row r="5" spans="1:10" x14ac:dyDescent="0.25">
      <c r="A5" s="1" t="s">
        <v>3</v>
      </c>
      <c r="B5" s="260"/>
      <c r="C5" s="260" t="str">
        <f>'[13]F 1 _ Echant et Séchage'!E15</f>
        <v>sec, nuageux</v>
      </c>
      <c r="D5" s="260"/>
      <c r="E5" s="260"/>
      <c r="F5" s="260"/>
      <c r="G5" s="3"/>
      <c r="H5" s="3"/>
      <c r="I5" s="3"/>
      <c r="J5" s="3"/>
    </row>
    <row r="6" spans="1:10" x14ac:dyDescent="0.25">
      <c r="A6" s="1"/>
      <c r="B6" s="1"/>
      <c r="C6" s="1"/>
      <c r="D6" s="1"/>
      <c r="E6" s="1"/>
      <c r="F6" s="1"/>
      <c r="G6" s="1"/>
      <c r="H6" s="1"/>
      <c r="I6" s="1"/>
      <c r="J6" s="1"/>
    </row>
    <row r="7" spans="1:10" ht="18.75" x14ac:dyDescent="0.25">
      <c r="A7" s="584" t="s">
        <v>4</v>
      </c>
      <c r="B7" s="584"/>
      <c r="C7" s="584"/>
      <c r="D7" s="584"/>
      <c r="E7" s="584"/>
      <c r="F7" s="584"/>
      <c r="G7" s="584"/>
      <c r="H7" s="584"/>
      <c r="I7" s="584"/>
      <c r="J7" s="584"/>
    </row>
    <row r="8" spans="1:10" x14ac:dyDescent="0.25">
      <c r="A8" s="1"/>
      <c r="B8" s="1"/>
      <c r="C8" s="1"/>
      <c r="D8" s="1"/>
      <c r="E8" s="1"/>
      <c r="F8" s="1"/>
      <c r="G8" s="1"/>
      <c r="H8" s="1"/>
      <c r="I8" s="4"/>
      <c r="J8" s="1"/>
    </row>
    <row r="9" spans="1:10" x14ac:dyDescent="0.25">
      <c r="A9" s="1" t="s">
        <v>5</v>
      </c>
      <c r="B9" s="5">
        <f>'[13]F 1 _ Echant et Séchage'!B12</f>
        <v>42193</v>
      </c>
      <c r="C9" s="1"/>
      <c r="D9" s="583" t="s">
        <v>6</v>
      </c>
      <c r="E9" s="583"/>
      <c r="F9" s="583"/>
      <c r="G9" s="6">
        <f>'[13]F 1 _ Echant et Séchage'!G19</f>
        <v>127.36000000000001</v>
      </c>
      <c r="H9" s="6"/>
      <c r="I9" s="7"/>
      <c r="J9" s="1" t="s">
        <v>7</v>
      </c>
    </row>
    <row r="10" spans="1:10" x14ac:dyDescent="0.25">
      <c r="A10" s="1" t="s">
        <v>8</v>
      </c>
      <c r="B10" s="8" t="str">
        <f>'[13]F 1 _ Echant et Séchage'!E12</f>
        <v>19H10</v>
      </c>
      <c r="C10" s="1"/>
      <c r="D10" s="583" t="s">
        <v>9</v>
      </c>
      <c r="E10" s="583"/>
      <c r="F10" s="583"/>
      <c r="G10" s="260">
        <f>'[13]F 1 _ Echant et Séchage'!H26</f>
        <v>0.4</v>
      </c>
      <c r="H10" s="260"/>
      <c r="I10" s="9"/>
      <c r="J10" s="1" t="s">
        <v>10</v>
      </c>
    </row>
    <row r="11" spans="1:10" x14ac:dyDescent="0.25">
      <c r="A11" s="1"/>
      <c r="B11" s="583"/>
      <c r="C11" s="583"/>
      <c r="D11" s="583" t="s">
        <v>11</v>
      </c>
      <c r="E11" s="583"/>
      <c r="F11" s="583"/>
      <c r="G11" s="10">
        <f>G9/1000/G10</f>
        <v>0.31839999999999996</v>
      </c>
      <c r="H11" s="10"/>
      <c r="I11" s="3"/>
      <c r="J11" s="3" t="s">
        <v>12</v>
      </c>
    </row>
    <row r="12" spans="1:10" x14ac:dyDescent="0.25">
      <c r="A12" s="1"/>
      <c r="B12" s="7"/>
      <c r="C12" s="1"/>
      <c r="D12" s="583" t="s">
        <v>13</v>
      </c>
      <c r="E12" s="583"/>
      <c r="F12" s="583"/>
      <c r="G12" s="236">
        <f>'[13]F 1 _ Echant et Séchage'!D51</f>
        <v>0.36888347989949738</v>
      </c>
      <c r="H12" s="11"/>
      <c r="I12" s="11"/>
      <c r="J12" s="1"/>
    </row>
    <row r="13" spans="1:10" x14ac:dyDescent="0.25">
      <c r="A13" s="1"/>
      <c r="B13" s="12"/>
      <c r="C13" s="1"/>
      <c r="D13" s="1"/>
      <c r="E13" s="1"/>
      <c r="F13" s="1"/>
      <c r="G13" s="234"/>
      <c r="H13" s="234"/>
      <c r="I13" s="234"/>
      <c r="J13" s="1"/>
    </row>
    <row r="14" spans="1:10" ht="18.75" x14ac:dyDescent="0.25">
      <c r="A14" s="584" t="s">
        <v>14</v>
      </c>
      <c r="B14" s="584"/>
      <c r="C14" s="584"/>
      <c r="D14" s="584"/>
      <c r="E14" s="584"/>
      <c r="F14" s="584"/>
      <c r="G14" s="584"/>
      <c r="H14" s="584"/>
      <c r="I14" s="584"/>
      <c r="J14" s="584"/>
    </row>
    <row r="15" spans="1:10" x14ac:dyDescent="0.25">
      <c r="A15" s="13"/>
      <c r="B15" s="13"/>
      <c r="C15" s="13"/>
      <c r="D15" s="13"/>
      <c r="E15" s="13"/>
      <c r="F15" s="13"/>
      <c r="G15" s="13"/>
      <c r="H15" s="13"/>
      <c r="I15" s="13"/>
      <c r="J15" s="13"/>
    </row>
    <row r="16" spans="1:10" ht="15.75" customHeight="1" thickBot="1" x14ac:dyDescent="0.3">
      <c r="A16" s="1"/>
      <c r="B16" s="1"/>
      <c r="C16" s="14" t="s">
        <v>15</v>
      </c>
      <c r="D16" s="15"/>
      <c r="E16" s="15"/>
      <c r="F16" s="15"/>
      <c r="G16" s="585" t="s">
        <v>16</v>
      </c>
      <c r="H16" s="650"/>
      <c r="I16" s="651"/>
      <c r="J16" s="650"/>
    </row>
    <row r="17" spans="1:10" ht="26.25" thickBot="1" x14ac:dyDescent="0.3">
      <c r="A17" s="138" t="s">
        <v>20</v>
      </c>
      <c r="B17" s="139" t="s">
        <v>21</v>
      </c>
      <c r="C17" s="16" t="s">
        <v>22</v>
      </c>
      <c r="D17" s="16" t="s">
        <v>23</v>
      </c>
      <c r="E17" s="16" t="s">
        <v>24</v>
      </c>
      <c r="F17" s="17" t="s">
        <v>25</v>
      </c>
      <c r="G17" s="586"/>
      <c r="H17" s="650"/>
      <c r="I17" s="651"/>
      <c r="J17" s="650"/>
    </row>
    <row r="18" spans="1:10" ht="25.5" x14ac:dyDescent="0.25">
      <c r="A18" s="259" t="s">
        <v>109</v>
      </c>
      <c r="B18" s="18" t="s">
        <v>111</v>
      </c>
      <c r="C18" s="19">
        <f>'[13]F 4 TRI _ Granulo'!K5</f>
        <v>26.455513307984788</v>
      </c>
      <c r="D18" s="20">
        <f>'[13]F 4 TRI _ Granulo'!H5</f>
        <v>27.840000000000003</v>
      </c>
      <c r="E18" s="20">
        <f>'[13]F 4 TRI _ Granulo'!E5</f>
        <v>0.98</v>
      </c>
      <c r="F18" s="20">
        <f>SUM(C18:E18)</f>
        <v>55.275513307984788</v>
      </c>
      <c r="G18" s="21">
        <f>F18/$F$21</f>
        <v>0.6977335536009629</v>
      </c>
      <c r="H18" s="98"/>
      <c r="I18" s="99"/>
      <c r="J18" s="99"/>
    </row>
    <row r="19" spans="1:10" ht="25.5" x14ac:dyDescent="0.25">
      <c r="A19" s="258" t="s">
        <v>110</v>
      </c>
      <c r="B19" s="18" t="s">
        <v>112</v>
      </c>
      <c r="C19" s="19">
        <f>'[13]F 4 TRI _ Granulo'!K6</f>
        <v>9.4682889733840323</v>
      </c>
      <c r="D19" s="20">
        <f>'[13]F 4 TRI _ Granulo'!H6</f>
        <v>2.8600000000000003</v>
      </c>
      <c r="E19" s="20">
        <f>'[13]F 4 TRI _ Granulo'!E6</f>
        <v>0</v>
      </c>
      <c r="F19" s="20">
        <f>SUM(C19:E19)</f>
        <v>12.328288973384034</v>
      </c>
      <c r="G19" s="21">
        <f>F19/$F$21</f>
        <v>0.1556179284539766</v>
      </c>
      <c r="H19" s="98"/>
      <c r="I19" s="100"/>
      <c r="J19" s="100"/>
    </row>
    <row r="20" spans="1:10" x14ac:dyDescent="0.25">
      <c r="A20" s="22" t="s">
        <v>74</v>
      </c>
      <c r="B20" s="23">
        <f>'[13]F 3 _ Criblage et Tri'!C27+'[13]F 3 _ Criblage et Tri'!D27</f>
        <v>11</v>
      </c>
      <c r="C20" s="19">
        <f>'[13]F 4 TRI _ Granulo'!K7</f>
        <v>0.41771863117870761</v>
      </c>
      <c r="D20" s="20">
        <f>'[13]F 4 TRI _ Granulo'!H7</f>
        <v>0.20000000000000018</v>
      </c>
      <c r="E20" s="20">
        <f>'[13]F 4 TRI _ Granulo'!E7</f>
        <v>0</v>
      </c>
      <c r="F20" s="19">
        <f>SUM(B20:E20)</f>
        <v>11.617718631178708</v>
      </c>
      <c r="G20" s="21">
        <f>F20/$F$21</f>
        <v>0.14664851794506042</v>
      </c>
      <c r="H20" s="98"/>
      <c r="I20" s="101"/>
      <c r="J20" s="101"/>
    </row>
    <row r="21" spans="1:10" x14ac:dyDescent="0.25">
      <c r="A21" s="25" t="s">
        <v>25</v>
      </c>
      <c r="B21" s="90">
        <f>B20</f>
        <v>11</v>
      </c>
      <c r="C21" s="19">
        <f>SUM(C18:C20)</f>
        <v>36.34152091254753</v>
      </c>
      <c r="D21" s="19">
        <f>SUM(D18:D20)</f>
        <v>30.900000000000002</v>
      </c>
      <c r="E21" s="19">
        <f>SUM(E18:E20)</f>
        <v>0.98</v>
      </c>
      <c r="F21" s="19">
        <f>SUM(B21:E21)</f>
        <v>79.221520912547533</v>
      </c>
      <c r="G21" s="21">
        <f>F21/$F$21</f>
        <v>1</v>
      </c>
      <c r="H21" s="98"/>
      <c r="I21" s="101"/>
      <c r="J21" s="101"/>
    </row>
    <row r="22" spans="1:10" ht="51.75" x14ac:dyDescent="0.25">
      <c r="A22" s="26" t="s">
        <v>75</v>
      </c>
      <c r="B22" s="235">
        <f>B21/$F$21</f>
        <v>0.13885115904481152</v>
      </c>
      <c r="C22" s="235">
        <f>C21/$F$21</f>
        <v>0.45873293637804374</v>
      </c>
      <c r="D22" s="235">
        <f>D21/$F$21</f>
        <v>0.39004552858951602</v>
      </c>
      <c r="E22" s="235">
        <f>E21/$F$21</f>
        <v>1.2370375987628664E-2</v>
      </c>
      <c r="F22" s="235">
        <f>F21/$F$21</f>
        <v>1</v>
      </c>
      <c r="G22" s="1"/>
      <c r="H22" s="1"/>
      <c r="I22" s="1"/>
      <c r="J22" s="1"/>
    </row>
    <row r="23" spans="1:10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</row>
    <row r="24" spans="1:10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</row>
    <row r="25" spans="1:10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</row>
    <row r="26" spans="1:10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</row>
    <row r="27" spans="1:10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</row>
  </sheetData>
  <mergeCells count="13">
    <mergeCell ref="B2:F2"/>
    <mergeCell ref="D12:F12"/>
    <mergeCell ref="A14:J14"/>
    <mergeCell ref="G16:G17"/>
    <mergeCell ref="B3:F3"/>
    <mergeCell ref="A7:J7"/>
    <mergeCell ref="D9:F9"/>
    <mergeCell ref="D10:F10"/>
    <mergeCell ref="B11:C11"/>
    <mergeCell ref="D11:F11"/>
    <mergeCell ref="H16:H17"/>
    <mergeCell ref="I16:I17"/>
    <mergeCell ref="J16:J17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workbookViewId="0">
      <selection activeCell="O30" sqref="O30"/>
    </sheetView>
  </sheetViews>
  <sheetFormatPr baseColWidth="10" defaultRowHeight="15" x14ac:dyDescent="0.25"/>
  <sheetData>
    <row r="1" spans="1:10" x14ac:dyDescent="0.2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5.75" x14ac:dyDescent="0.25">
      <c r="A2" s="1" t="s">
        <v>0</v>
      </c>
      <c r="B2" s="582" t="str">
        <f>'[14]F 1 _ Echant et Séchage'!D5</f>
        <v>IVR-E15-PC-PAR</v>
      </c>
      <c r="C2" s="582"/>
      <c r="D2" s="582"/>
      <c r="E2" s="582"/>
      <c r="F2" s="582"/>
      <c r="G2" s="2"/>
      <c r="H2" s="2"/>
      <c r="I2" s="2"/>
      <c r="J2" s="2"/>
    </row>
    <row r="3" spans="1:10" x14ac:dyDescent="0.25">
      <c r="A3" s="1" t="s">
        <v>1</v>
      </c>
      <c r="B3" s="589" t="str">
        <f>'[14]F 1 _ Echant et Séchage'!D6</f>
        <v>456 QPG 75 - PARIS 12E</v>
      </c>
      <c r="C3" s="589"/>
      <c r="D3" s="589"/>
      <c r="E3" s="589"/>
      <c r="F3" s="589"/>
      <c r="G3" s="3"/>
      <c r="H3" s="3"/>
      <c r="I3" s="3"/>
      <c r="J3" s="3"/>
    </row>
    <row r="4" spans="1:10" x14ac:dyDescent="0.25">
      <c r="A4" s="1" t="s">
        <v>2</v>
      </c>
      <c r="B4" s="260"/>
      <c r="C4" s="260" t="str">
        <f>'[14]F 1 _ Echant et Séchage'!D8</f>
        <v>IVRY</v>
      </c>
      <c r="D4" s="260"/>
      <c r="E4" s="260"/>
      <c r="F4" s="260"/>
      <c r="G4" s="3"/>
      <c r="H4" s="3"/>
      <c r="I4" s="3"/>
      <c r="J4" s="3"/>
    </row>
    <row r="5" spans="1:10" x14ac:dyDescent="0.25">
      <c r="A5" s="1" t="s">
        <v>3</v>
      </c>
      <c r="B5" s="260"/>
      <c r="C5" s="260" t="str">
        <f>'[14]F 1 _ Echant et Séchage'!E15</f>
        <v>sec, nuageux</v>
      </c>
      <c r="D5" s="260"/>
      <c r="E5" s="260"/>
      <c r="F5" s="260"/>
      <c r="G5" s="3"/>
      <c r="H5" s="3"/>
      <c r="I5" s="3"/>
      <c r="J5" s="3"/>
    </row>
    <row r="6" spans="1:10" x14ac:dyDescent="0.25">
      <c r="A6" s="1"/>
      <c r="B6" s="1"/>
      <c r="C6" s="1"/>
      <c r="D6" s="1"/>
      <c r="E6" s="1"/>
      <c r="F6" s="1"/>
      <c r="G6" s="1"/>
      <c r="H6" s="1"/>
      <c r="I6" s="1"/>
      <c r="J6" s="1"/>
    </row>
    <row r="7" spans="1:10" ht="18.75" x14ac:dyDescent="0.25">
      <c r="A7" s="584" t="s">
        <v>4</v>
      </c>
      <c r="B7" s="584"/>
      <c r="C7" s="584"/>
      <c r="D7" s="584"/>
      <c r="E7" s="584"/>
      <c r="F7" s="584"/>
      <c r="G7" s="584"/>
      <c r="H7" s="584"/>
      <c r="I7" s="584"/>
      <c r="J7" s="584"/>
    </row>
    <row r="8" spans="1:10" x14ac:dyDescent="0.25">
      <c r="A8" s="1"/>
      <c r="B8" s="1"/>
      <c r="C8" s="1"/>
      <c r="D8" s="1"/>
      <c r="E8" s="1"/>
      <c r="F8" s="1"/>
      <c r="G8" s="1"/>
      <c r="H8" s="1"/>
      <c r="I8" s="4"/>
      <c r="J8" s="1"/>
    </row>
    <row r="9" spans="1:10" x14ac:dyDescent="0.25">
      <c r="A9" s="1" t="s">
        <v>5</v>
      </c>
      <c r="B9" s="5">
        <f>'[14]F 1 _ Echant et Séchage'!B12</f>
        <v>42193</v>
      </c>
      <c r="C9" s="1"/>
      <c r="D9" s="583" t="s">
        <v>6</v>
      </c>
      <c r="E9" s="583"/>
      <c r="F9" s="583"/>
      <c r="G9" s="6">
        <f>'[14]F 1 _ Echant et Séchage'!G19</f>
        <v>129.01999999999998</v>
      </c>
      <c r="H9" s="6"/>
      <c r="I9" s="7"/>
      <c r="J9" s="1" t="s">
        <v>7</v>
      </c>
    </row>
    <row r="10" spans="1:10" x14ac:dyDescent="0.25">
      <c r="A10" s="1" t="s">
        <v>8</v>
      </c>
      <c r="B10" s="8" t="str">
        <f>'[14]F 1 _ Echant et Séchage'!E12</f>
        <v>19H00</v>
      </c>
      <c r="C10" s="1"/>
      <c r="D10" s="583" t="s">
        <v>9</v>
      </c>
      <c r="E10" s="583"/>
      <c r="F10" s="583"/>
      <c r="G10" s="260">
        <f>'[14]F 1 _ Echant et Séchage'!H26</f>
        <v>0.47500000000000003</v>
      </c>
      <c r="H10" s="260"/>
      <c r="I10" s="9"/>
      <c r="J10" s="1" t="s">
        <v>10</v>
      </c>
    </row>
    <row r="11" spans="1:10" x14ac:dyDescent="0.25">
      <c r="A11" s="1"/>
      <c r="B11" s="583"/>
      <c r="C11" s="583"/>
      <c r="D11" s="583" t="s">
        <v>11</v>
      </c>
      <c r="E11" s="583"/>
      <c r="F11" s="583"/>
      <c r="G11" s="10">
        <f>G9/1000/G10</f>
        <v>0.27162105263157887</v>
      </c>
      <c r="H11" s="10"/>
      <c r="I11" s="3"/>
      <c r="J11" s="3" t="s">
        <v>12</v>
      </c>
    </row>
    <row r="12" spans="1:10" x14ac:dyDescent="0.25">
      <c r="A12" s="1"/>
      <c r="B12" s="7"/>
      <c r="C12" s="1"/>
      <c r="D12" s="583" t="s">
        <v>13</v>
      </c>
      <c r="E12" s="583"/>
      <c r="F12" s="583"/>
      <c r="G12" s="236">
        <f>'[14]F 1 _ Echant et Séchage'!D51</f>
        <v>0.47388001860176715</v>
      </c>
      <c r="H12" s="11"/>
      <c r="I12" s="11"/>
      <c r="J12" s="1"/>
    </row>
    <row r="13" spans="1:10" x14ac:dyDescent="0.25">
      <c r="A13" s="1"/>
      <c r="B13" s="12"/>
      <c r="C13" s="1"/>
      <c r="D13" s="1"/>
      <c r="E13" s="1"/>
      <c r="F13" s="1"/>
      <c r="G13" s="234"/>
      <c r="H13" s="234"/>
      <c r="I13" s="234"/>
      <c r="J13" s="1"/>
    </row>
    <row r="14" spans="1:10" ht="18.75" x14ac:dyDescent="0.25">
      <c r="A14" s="584" t="s">
        <v>14</v>
      </c>
      <c r="B14" s="584"/>
      <c r="C14" s="584"/>
      <c r="D14" s="584"/>
      <c r="E14" s="584"/>
      <c r="F14" s="584"/>
      <c r="G14" s="584"/>
      <c r="H14" s="584"/>
      <c r="I14" s="584"/>
      <c r="J14" s="584"/>
    </row>
    <row r="15" spans="1:10" x14ac:dyDescent="0.25">
      <c r="A15" s="13"/>
      <c r="B15" s="13"/>
      <c r="C15" s="13"/>
      <c r="D15" s="13"/>
      <c r="E15" s="13"/>
      <c r="F15" s="13"/>
      <c r="G15" s="13"/>
      <c r="H15" s="13"/>
      <c r="I15" s="13"/>
      <c r="J15" s="13"/>
    </row>
    <row r="16" spans="1:10" ht="15.75" customHeight="1" thickBot="1" x14ac:dyDescent="0.3">
      <c r="A16" s="1"/>
      <c r="B16" s="1"/>
      <c r="C16" s="14" t="s">
        <v>15</v>
      </c>
      <c r="D16" s="15"/>
      <c r="E16" s="15"/>
      <c r="F16" s="15"/>
      <c r="G16" s="585" t="s">
        <v>16</v>
      </c>
      <c r="H16" s="650"/>
      <c r="I16" s="651"/>
      <c r="J16" s="650"/>
    </row>
    <row r="17" spans="1:10" ht="26.25" thickBot="1" x14ac:dyDescent="0.3">
      <c r="A17" s="138" t="s">
        <v>20</v>
      </c>
      <c r="B17" s="139" t="s">
        <v>21</v>
      </c>
      <c r="C17" s="16" t="s">
        <v>22</v>
      </c>
      <c r="D17" s="16" t="s">
        <v>23</v>
      </c>
      <c r="E17" s="16" t="s">
        <v>24</v>
      </c>
      <c r="F17" s="17" t="s">
        <v>25</v>
      </c>
      <c r="G17" s="586"/>
      <c r="H17" s="650"/>
      <c r="I17" s="651"/>
      <c r="J17" s="650"/>
    </row>
    <row r="18" spans="1:10" ht="25.5" x14ac:dyDescent="0.25">
      <c r="A18" s="259" t="s">
        <v>109</v>
      </c>
      <c r="B18" s="18" t="s">
        <v>111</v>
      </c>
      <c r="C18" s="19">
        <f>'[14]F 4 TRI _ Granulo'!K5</f>
        <v>26.550625000000004</v>
      </c>
      <c r="D18" s="20">
        <f>'[14]F 4 TRI _ Granulo'!H5</f>
        <v>21.72</v>
      </c>
      <c r="E18" s="20">
        <f>'[14]F 4 TRI _ Granulo'!E5</f>
        <v>0</v>
      </c>
      <c r="F18" s="20">
        <f>SUM(C18:E18)</f>
        <v>48.270625000000003</v>
      </c>
      <c r="G18" s="21">
        <f>F18/$F$21</f>
        <v>0.71537787328540725</v>
      </c>
      <c r="H18" s="98"/>
      <c r="I18" s="99"/>
      <c r="J18" s="99"/>
    </row>
    <row r="19" spans="1:10" ht="25.5" x14ac:dyDescent="0.25">
      <c r="A19" s="258" t="s">
        <v>110</v>
      </c>
      <c r="B19" s="18" t="s">
        <v>112</v>
      </c>
      <c r="C19" s="19">
        <f>'[14]F 4 TRI _ Granulo'!K6</f>
        <v>8.802109374999997</v>
      </c>
      <c r="D19" s="20">
        <f>'[14]F 4 TRI _ Granulo'!H6</f>
        <v>3.1400000000000006</v>
      </c>
      <c r="E19" s="20">
        <f>'[14]F 4 TRI _ Granulo'!E6</f>
        <v>0</v>
      </c>
      <c r="F19" s="20">
        <f>SUM(C19:E19)</f>
        <v>11.942109374999998</v>
      </c>
      <c r="G19" s="21">
        <f>F19/$F$21</f>
        <v>0.1769838448793489</v>
      </c>
      <c r="H19" s="98"/>
      <c r="I19" s="100"/>
      <c r="J19" s="100"/>
    </row>
    <row r="20" spans="1:10" x14ac:dyDescent="0.25">
      <c r="A20" s="22" t="s">
        <v>74</v>
      </c>
      <c r="B20" s="23">
        <f>'[14]F 3 _ Criblage et Tri'!C27+'[14]F 3 _ Criblage et Tri'!D27</f>
        <v>5.7600000000000007</v>
      </c>
      <c r="C20" s="19">
        <f>'[14]F 4 TRI _ Granulo'!K7</f>
        <v>1.4429687500000012</v>
      </c>
      <c r="D20" s="20">
        <f>'[14]F 4 TRI _ Granulo'!H7</f>
        <v>6.0000000000000053E-2</v>
      </c>
      <c r="E20" s="20">
        <f>'[14]F 4 TRI _ Granulo'!E7</f>
        <v>0</v>
      </c>
      <c r="F20" s="19">
        <f>SUM(B20:E20)</f>
        <v>7.2629687500000024</v>
      </c>
      <c r="G20" s="21">
        <f>F20/$F$21</f>
        <v>0.10763828183524397</v>
      </c>
      <c r="H20" s="98"/>
      <c r="I20" s="101"/>
      <c r="J20" s="101"/>
    </row>
    <row r="21" spans="1:10" x14ac:dyDescent="0.25">
      <c r="A21" s="25" t="s">
        <v>25</v>
      </c>
      <c r="B21" s="90">
        <f>B20</f>
        <v>5.7600000000000007</v>
      </c>
      <c r="C21" s="19">
        <f>SUM(C18:C20)</f>
        <v>36.795703124999996</v>
      </c>
      <c r="D21" s="19">
        <f>SUM(D18:D20)</f>
        <v>24.919999999999998</v>
      </c>
      <c r="E21" s="19">
        <f>SUM(E18:E20)</f>
        <v>0</v>
      </c>
      <c r="F21" s="19">
        <f>SUM(B21:E21)</f>
        <v>67.475703124999995</v>
      </c>
      <c r="G21" s="21">
        <f>F21/$F$21</f>
        <v>1</v>
      </c>
      <c r="H21" s="98"/>
      <c r="I21" s="101"/>
      <c r="J21" s="101"/>
    </row>
    <row r="22" spans="1:10" ht="51.75" x14ac:dyDescent="0.25">
      <c r="A22" s="26" t="s">
        <v>75</v>
      </c>
      <c r="B22" s="235">
        <f>B21/$F$21</f>
        <v>8.5364060443053016E-2</v>
      </c>
      <c r="C22" s="235">
        <f>C21/$F$21</f>
        <v>0.54531781694568293</v>
      </c>
      <c r="D22" s="235">
        <f>D21/$F$21</f>
        <v>0.36931812261126401</v>
      </c>
      <c r="E22" s="235">
        <f>E21/$F$21</f>
        <v>0</v>
      </c>
      <c r="F22" s="235">
        <f>F21/$F$21</f>
        <v>1</v>
      </c>
      <c r="G22" s="1"/>
      <c r="H22" s="1"/>
      <c r="I22" s="1"/>
      <c r="J22" s="1"/>
    </row>
    <row r="23" spans="1:10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</row>
    <row r="24" spans="1:10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</row>
    <row r="25" spans="1:10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</row>
  </sheetData>
  <mergeCells count="13">
    <mergeCell ref="B2:F2"/>
    <mergeCell ref="D12:F12"/>
    <mergeCell ref="A14:J14"/>
    <mergeCell ref="G16:G17"/>
    <mergeCell ref="B3:F3"/>
    <mergeCell ref="A7:J7"/>
    <mergeCell ref="D9:F9"/>
    <mergeCell ref="D10:F10"/>
    <mergeCell ref="B11:C11"/>
    <mergeCell ref="D11:F11"/>
    <mergeCell ref="H16:H17"/>
    <mergeCell ref="I16:I17"/>
    <mergeCell ref="J16:J17"/>
  </mergeCell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workbookViewId="0">
      <selection activeCell="Q25" sqref="Q25"/>
    </sheetView>
  </sheetViews>
  <sheetFormatPr baseColWidth="10" defaultRowHeight="15" x14ac:dyDescent="0.25"/>
  <sheetData>
    <row r="1" spans="1:10" x14ac:dyDescent="0.2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5.75" x14ac:dyDescent="0.25">
      <c r="A2" s="1" t="s">
        <v>0</v>
      </c>
      <c r="B2" s="582" t="str">
        <f>'[15]F 1 _ Echant et Séchage'!D5</f>
        <v>ROM-E15-PC-BAN</v>
      </c>
      <c r="C2" s="582"/>
      <c r="D2" s="582"/>
      <c r="E2" s="582"/>
      <c r="F2" s="582"/>
      <c r="G2" s="2"/>
      <c r="H2" s="2"/>
      <c r="I2" s="2"/>
      <c r="J2" s="2"/>
    </row>
    <row r="3" spans="1:10" x14ac:dyDescent="0.25">
      <c r="A3" s="1" t="s">
        <v>1</v>
      </c>
      <c r="B3" s="589" t="str">
        <f>'[15]F 1 _ Echant et Séchage'!D6</f>
        <v>CD 781 RH - BONDY - CAEE</v>
      </c>
      <c r="C3" s="589"/>
      <c r="D3" s="589"/>
      <c r="E3" s="589"/>
      <c r="F3" s="589"/>
      <c r="G3" s="3"/>
      <c r="H3" s="3"/>
      <c r="I3" s="3"/>
      <c r="J3" s="3"/>
    </row>
    <row r="4" spans="1:10" x14ac:dyDescent="0.25">
      <c r="A4" s="1" t="s">
        <v>2</v>
      </c>
      <c r="B4" s="260"/>
      <c r="C4" s="260" t="str">
        <f>'[15]F 1 _ Echant et Séchage'!D8</f>
        <v>ROMAINVILLE</v>
      </c>
      <c r="D4" s="260"/>
      <c r="E4" s="260"/>
      <c r="F4" s="260"/>
      <c r="G4" s="3"/>
      <c r="H4" s="3"/>
      <c r="I4" s="3"/>
      <c r="J4" s="3"/>
    </row>
    <row r="5" spans="1:10" x14ac:dyDescent="0.25">
      <c r="A5" s="1" t="s">
        <v>3</v>
      </c>
      <c r="B5" s="260"/>
      <c r="C5" s="260" t="str">
        <f>'[15]F 1 _ Echant et Séchage'!E15</f>
        <v>sec, ensoleillé</v>
      </c>
      <c r="D5" s="260"/>
      <c r="E5" s="260"/>
      <c r="F5" s="260"/>
      <c r="G5" s="3"/>
      <c r="H5" s="3"/>
      <c r="I5" s="3"/>
      <c r="J5" s="3"/>
    </row>
    <row r="6" spans="1:10" x14ac:dyDescent="0.25">
      <c r="A6" s="1"/>
      <c r="B6" s="1"/>
      <c r="C6" s="1"/>
      <c r="D6" s="1"/>
      <c r="E6" s="1"/>
      <c r="F6" s="1"/>
      <c r="G6" s="1"/>
      <c r="H6" s="1"/>
      <c r="I6" s="1"/>
      <c r="J6" s="1"/>
    </row>
    <row r="7" spans="1:10" ht="18.75" x14ac:dyDescent="0.25">
      <c r="A7" s="584" t="s">
        <v>4</v>
      </c>
      <c r="B7" s="584"/>
      <c r="C7" s="584"/>
      <c r="D7" s="584"/>
      <c r="E7" s="584"/>
      <c r="F7" s="584"/>
      <c r="G7" s="584"/>
      <c r="H7" s="584"/>
      <c r="I7" s="584"/>
      <c r="J7" s="584"/>
    </row>
    <row r="8" spans="1:10" x14ac:dyDescent="0.25">
      <c r="A8" s="1"/>
      <c r="B8" s="1"/>
      <c r="C8" s="1"/>
      <c r="D8" s="1"/>
      <c r="E8" s="1"/>
      <c r="F8" s="1"/>
      <c r="G8" s="1"/>
      <c r="H8" s="1"/>
      <c r="I8" s="4"/>
      <c r="J8" s="1"/>
    </row>
    <row r="9" spans="1:10" x14ac:dyDescent="0.25">
      <c r="A9" s="1" t="s">
        <v>5</v>
      </c>
      <c r="B9" s="5">
        <f>'[15]F 1 _ Echant et Séchage'!B13</f>
        <v>0</v>
      </c>
      <c r="C9" s="1"/>
      <c r="D9" s="583" t="s">
        <v>6</v>
      </c>
      <c r="E9" s="583"/>
      <c r="F9" s="583"/>
      <c r="G9" s="6" t="str">
        <f>'[15]F 1 _ Echant et Séchage'!G20</f>
        <v xml:space="preserve">Vol1 </v>
      </c>
      <c r="H9" s="6"/>
      <c r="I9" s="7"/>
      <c r="J9" s="1" t="s">
        <v>7</v>
      </c>
    </row>
    <row r="10" spans="1:10" x14ac:dyDescent="0.25">
      <c r="A10" s="1" t="s">
        <v>8</v>
      </c>
      <c r="B10" s="8">
        <f>'[15]F 1 _ Echant et Séchage'!E13</f>
        <v>0</v>
      </c>
      <c r="C10" s="1"/>
      <c r="D10" s="583" t="s">
        <v>9</v>
      </c>
      <c r="E10" s="583"/>
      <c r="F10" s="583"/>
      <c r="G10" s="260">
        <f>SUM('[15]F 1 _ Echant et Séchage'!H21:H23)</f>
        <v>0.2</v>
      </c>
      <c r="H10" s="260"/>
      <c r="I10" s="9"/>
      <c r="J10" s="1" t="s">
        <v>10</v>
      </c>
    </row>
    <row r="11" spans="1:10" x14ac:dyDescent="0.25">
      <c r="A11" s="1"/>
      <c r="B11" s="583"/>
      <c r="C11" s="583"/>
      <c r="D11" s="583" t="s">
        <v>11</v>
      </c>
      <c r="E11" s="583"/>
      <c r="F11" s="583"/>
      <c r="G11" s="10" t="e">
        <f>G9/1000/G10</f>
        <v>#VALUE!</v>
      </c>
      <c r="H11" s="10"/>
      <c r="I11" s="3"/>
      <c r="J11" s="3" t="s">
        <v>12</v>
      </c>
    </row>
    <row r="12" spans="1:10" x14ac:dyDescent="0.25">
      <c r="A12" s="1"/>
      <c r="B12" s="7"/>
      <c r="C12" s="1"/>
      <c r="D12" s="583" t="s">
        <v>13</v>
      </c>
      <c r="E12" s="583"/>
      <c r="F12" s="583"/>
      <c r="G12" s="236">
        <f>'[15]F 1 _ Echant et Séchage'!D51</f>
        <v>0.4084550345887778</v>
      </c>
      <c r="H12" s="11"/>
      <c r="I12" s="11"/>
      <c r="J12" s="1"/>
    </row>
    <row r="13" spans="1:10" x14ac:dyDescent="0.25">
      <c r="A13" s="1"/>
      <c r="B13" s="12"/>
      <c r="C13" s="1"/>
      <c r="D13" s="1"/>
      <c r="E13" s="1"/>
      <c r="F13" s="1"/>
      <c r="G13" s="234"/>
      <c r="H13" s="234"/>
      <c r="I13" s="234"/>
      <c r="J13" s="1"/>
    </row>
    <row r="14" spans="1:10" ht="18.75" x14ac:dyDescent="0.25">
      <c r="A14" s="584" t="s">
        <v>14</v>
      </c>
      <c r="B14" s="584"/>
      <c r="C14" s="584"/>
      <c r="D14" s="584"/>
      <c r="E14" s="584"/>
      <c r="F14" s="584"/>
      <c r="G14" s="584"/>
      <c r="H14" s="584"/>
      <c r="I14" s="584"/>
      <c r="J14" s="584"/>
    </row>
    <row r="15" spans="1:10" x14ac:dyDescent="0.25">
      <c r="A15" s="13"/>
      <c r="B15" s="13"/>
      <c r="C15" s="13"/>
      <c r="D15" s="13"/>
      <c r="E15" s="13"/>
      <c r="F15" s="13"/>
      <c r="G15" s="13"/>
      <c r="H15" s="13"/>
      <c r="I15" s="13"/>
      <c r="J15" s="13"/>
    </row>
    <row r="16" spans="1:10" ht="15.75" customHeight="1" thickBot="1" x14ac:dyDescent="0.3">
      <c r="A16" s="1"/>
      <c r="B16" s="1"/>
      <c r="C16" s="14" t="s">
        <v>15</v>
      </c>
      <c r="D16" s="15"/>
      <c r="E16" s="15"/>
      <c r="F16" s="15"/>
      <c r="G16" s="585" t="s">
        <v>16</v>
      </c>
      <c r="H16" s="650"/>
      <c r="I16" s="651"/>
      <c r="J16" s="650"/>
    </row>
    <row r="17" spans="1:10" ht="26.25" thickBot="1" x14ac:dyDescent="0.3">
      <c r="A17" s="138" t="s">
        <v>20</v>
      </c>
      <c r="B17" s="139" t="s">
        <v>21</v>
      </c>
      <c r="C17" s="16" t="s">
        <v>22</v>
      </c>
      <c r="D17" s="16" t="s">
        <v>23</v>
      </c>
      <c r="E17" s="16" t="s">
        <v>24</v>
      </c>
      <c r="F17" s="17" t="s">
        <v>25</v>
      </c>
      <c r="G17" s="586"/>
      <c r="H17" s="650"/>
      <c r="I17" s="651"/>
      <c r="J17" s="650"/>
    </row>
    <row r="18" spans="1:10" ht="25.5" x14ac:dyDescent="0.25">
      <c r="A18" s="259" t="s">
        <v>109</v>
      </c>
      <c r="B18" s="18" t="s">
        <v>111</v>
      </c>
      <c r="C18" s="19">
        <f>'[15]F 4 TRI _ Granulo'!K5</f>
        <v>31.658823529411762</v>
      </c>
      <c r="D18" s="20">
        <f>'[15]F 4 TRI _ Granulo'!H5</f>
        <v>23.22</v>
      </c>
      <c r="E18" s="20">
        <f>'[15]F 4 TRI _ Granulo'!E5</f>
        <v>4.04</v>
      </c>
      <c r="F18" s="20">
        <f>SUM(C18:E18)</f>
        <v>58.91882352941176</v>
      </c>
      <c r="G18" s="21">
        <f>F18/$F$21</f>
        <v>0.75372112273308733</v>
      </c>
      <c r="H18" s="98"/>
      <c r="I18" s="99"/>
      <c r="J18" s="99"/>
    </row>
    <row r="19" spans="1:10" ht="25.5" x14ac:dyDescent="0.25">
      <c r="A19" s="258" t="s">
        <v>110</v>
      </c>
      <c r="B19" s="18" t="s">
        <v>112</v>
      </c>
      <c r="C19" s="19">
        <f>'[15]F 4 TRI _ Granulo'!K6</f>
        <v>6.4235294117647088</v>
      </c>
      <c r="D19" s="20">
        <f>'[15]F 4 TRI _ Granulo'!H6</f>
        <v>3.7</v>
      </c>
      <c r="E19" s="20">
        <f>'[15]F 4 TRI _ Granulo'!E6</f>
        <v>0.3</v>
      </c>
      <c r="F19" s="20">
        <f>SUM(C19:E19)</f>
        <v>10.42352941176471</v>
      </c>
      <c r="G19" s="21">
        <f>F19/$F$21</f>
        <v>0.13334336669425842</v>
      </c>
      <c r="H19" s="98"/>
      <c r="I19" s="100"/>
      <c r="J19" s="100"/>
    </row>
    <row r="20" spans="1:10" x14ac:dyDescent="0.25">
      <c r="A20" s="22" t="s">
        <v>74</v>
      </c>
      <c r="B20" s="23">
        <f>'[15]F 3 _ Criblage et Tri'!C27+'[15]F 3 _ Criblage et Tri'!D27</f>
        <v>6.58</v>
      </c>
      <c r="C20" s="19">
        <f>'[15]F 4 TRI _ Granulo'!K7</f>
        <v>1.9882352941176491</v>
      </c>
      <c r="D20" s="20">
        <f>'[15]F 4 TRI _ Granulo'!H7</f>
        <v>0.26000000000000023</v>
      </c>
      <c r="E20" s="20">
        <f>'[15]F 4 TRI _ Granulo'!E7</f>
        <v>0</v>
      </c>
      <c r="F20" s="19">
        <f>SUM(B20:E20)</f>
        <v>8.8282352941176487</v>
      </c>
      <c r="G20" s="21">
        <f>F20/$F$21</f>
        <v>0.11293551057265408</v>
      </c>
      <c r="H20" s="98"/>
      <c r="I20" s="101"/>
      <c r="J20" s="101"/>
    </row>
    <row r="21" spans="1:10" x14ac:dyDescent="0.25">
      <c r="A21" s="25" t="s">
        <v>25</v>
      </c>
      <c r="B21" s="90">
        <f>B20</f>
        <v>6.58</v>
      </c>
      <c r="C21" s="19">
        <f>SUM(C18:C20)</f>
        <v>40.070588235294125</v>
      </c>
      <c r="D21" s="19">
        <f>SUM(D18:D20)</f>
        <v>27.18</v>
      </c>
      <c r="E21" s="19">
        <f>SUM(E18:E20)</f>
        <v>4.34</v>
      </c>
      <c r="F21" s="19">
        <f>SUM(B21:E21)</f>
        <v>78.170588235294133</v>
      </c>
      <c r="G21" s="21">
        <f>F21/$F$21</f>
        <v>1</v>
      </c>
      <c r="H21" s="98"/>
      <c r="I21" s="101"/>
      <c r="J21" s="101"/>
    </row>
    <row r="22" spans="1:10" ht="51.75" x14ac:dyDescent="0.25">
      <c r="A22" s="26" t="s">
        <v>75</v>
      </c>
      <c r="B22" s="235">
        <f>B21/$F$21</f>
        <v>8.4174881480924058E-2</v>
      </c>
      <c r="C22" s="235">
        <f>C21/$F$21</f>
        <v>0.5126044096621265</v>
      </c>
      <c r="D22" s="235">
        <f>D21/$F$21</f>
        <v>0.3477011061780419</v>
      </c>
      <c r="E22" s="235">
        <f>E21/$F$21</f>
        <v>5.5519602678907355E-2</v>
      </c>
      <c r="F22" s="235">
        <f>F21/$F$21</f>
        <v>1</v>
      </c>
      <c r="G22" s="1"/>
      <c r="H22" s="1"/>
      <c r="I22" s="1"/>
      <c r="J22" s="1"/>
    </row>
    <row r="23" spans="1:10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</row>
    <row r="24" spans="1:10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</row>
    <row r="25" spans="1:10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</row>
  </sheetData>
  <mergeCells count="13">
    <mergeCell ref="B2:F2"/>
    <mergeCell ref="B11:C11"/>
    <mergeCell ref="D11:F11"/>
    <mergeCell ref="B3:F3"/>
    <mergeCell ref="A7:J7"/>
    <mergeCell ref="D9:F9"/>
    <mergeCell ref="D10:F10"/>
    <mergeCell ref="D12:F12"/>
    <mergeCell ref="A14:J14"/>
    <mergeCell ref="G16:G17"/>
    <mergeCell ref="H16:H17"/>
    <mergeCell ref="I16:I17"/>
    <mergeCell ref="J16:J17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workbookViewId="0">
      <selection activeCell="R34" sqref="R34"/>
    </sheetView>
  </sheetViews>
  <sheetFormatPr baseColWidth="10" defaultRowHeight="15" x14ac:dyDescent="0.25"/>
  <sheetData>
    <row r="1" spans="1:10" x14ac:dyDescent="0.2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5.75" x14ac:dyDescent="0.25">
      <c r="A2" s="1" t="s">
        <v>0</v>
      </c>
      <c r="B2" s="582" t="str">
        <f>'[16]F 1 _ Echant et Séchage'!D5</f>
        <v>ROM-E15-PB-PAR</v>
      </c>
      <c r="C2" s="582"/>
      <c r="D2" s="582"/>
      <c r="E2" s="582"/>
      <c r="F2" s="582"/>
      <c r="G2" s="2"/>
      <c r="H2" s="2"/>
      <c r="I2" s="2"/>
      <c r="J2" s="2"/>
    </row>
    <row r="3" spans="1:10" x14ac:dyDescent="0.25">
      <c r="A3" s="1" t="s">
        <v>1</v>
      </c>
      <c r="B3" s="589" t="str">
        <f>'[16]F 1 _ Echant et Séchage'!D6</f>
        <v>869 QCA 75 - Paris 20e</v>
      </c>
      <c r="C3" s="589"/>
      <c r="D3" s="589"/>
      <c r="E3" s="589"/>
      <c r="F3" s="589"/>
      <c r="G3" s="3"/>
      <c r="H3" s="3"/>
      <c r="I3" s="3"/>
      <c r="J3" s="3"/>
    </row>
    <row r="4" spans="1:10" x14ac:dyDescent="0.25">
      <c r="A4" s="1" t="s">
        <v>2</v>
      </c>
      <c r="B4" s="260"/>
      <c r="C4" s="260" t="str">
        <f>'[16]F 1 _ Echant et Séchage'!D8</f>
        <v>Romainville</v>
      </c>
      <c r="D4" s="260"/>
      <c r="E4" s="260"/>
      <c r="F4" s="260"/>
      <c r="G4" s="3"/>
      <c r="H4" s="3"/>
      <c r="I4" s="3"/>
      <c r="J4" s="3"/>
    </row>
    <row r="5" spans="1:10" x14ac:dyDescent="0.25">
      <c r="A5" s="1" t="s">
        <v>3</v>
      </c>
      <c r="B5" s="260"/>
      <c r="C5" s="260" t="str">
        <f>'[16]F 1 _ Echant et Séchage'!E15</f>
        <v>sec, ensoleillé</v>
      </c>
      <c r="D5" s="260"/>
      <c r="E5" s="260"/>
      <c r="F5" s="260"/>
      <c r="G5" s="3"/>
      <c r="H5" s="3"/>
      <c r="I5" s="3"/>
      <c r="J5" s="3"/>
    </row>
    <row r="6" spans="1:10" x14ac:dyDescent="0.25">
      <c r="A6" s="1"/>
      <c r="B6" s="1"/>
      <c r="C6" s="1"/>
      <c r="D6" s="1"/>
      <c r="E6" s="1"/>
      <c r="F6" s="1"/>
      <c r="G6" s="1"/>
      <c r="H6" s="1"/>
      <c r="I6" s="1"/>
      <c r="J6" s="1"/>
    </row>
    <row r="7" spans="1:10" ht="18.75" x14ac:dyDescent="0.25">
      <c r="A7" s="584" t="s">
        <v>4</v>
      </c>
      <c r="B7" s="584"/>
      <c r="C7" s="584"/>
      <c r="D7" s="584"/>
      <c r="E7" s="584"/>
      <c r="F7" s="584"/>
      <c r="G7" s="584"/>
      <c r="H7" s="584"/>
      <c r="I7" s="584"/>
      <c r="J7" s="584"/>
    </row>
    <row r="8" spans="1:10" x14ac:dyDescent="0.25">
      <c r="A8" s="1"/>
      <c r="B8" s="1"/>
      <c r="C8" s="1"/>
      <c r="D8" s="1"/>
      <c r="E8" s="1"/>
      <c r="F8" s="1"/>
      <c r="G8" s="1"/>
      <c r="H8" s="1"/>
      <c r="I8" s="4"/>
      <c r="J8" s="1"/>
    </row>
    <row r="9" spans="1:10" x14ac:dyDescent="0.25">
      <c r="A9" s="1" t="s">
        <v>5</v>
      </c>
      <c r="B9" s="5">
        <f>'[16]F 1 _ Echant et Séchage'!B12</f>
        <v>42200</v>
      </c>
      <c r="C9" s="1"/>
      <c r="D9" s="583" t="s">
        <v>6</v>
      </c>
      <c r="E9" s="583"/>
      <c r="F9" s="583"/>
      <c r="G9" s="6">
        <f>'[16]F 1 _ Echant et Séchage'!G19</f>
        <v>124.60000000000001</v>
      </c>
      <c r="H9" s="6"/>
      <c r="I9" s="7"/>
      <c r="J9" s="1" t="s">
        <v>7</v>
      </c>
    </row>
    <row r="10" spans="1:10" x14ac:dyDescent="0.25">
      <c r="A10" s="1" t="s">
        <v>8</v>
      </c>
      <c r="B10" s="8" t="str">
        <f>'[16]F 1 _ Echant et Séchage'!E12</f>
        <v>7h50</v>
      </c>
      <c r="C10" s="1"/>
      <c r="D10" s="583" t="s">
        <v>9</v>
      </c>
      <c r="E10" s="583"/>
      <c r="F10" s="583"/>
      <c r="G10" s="260">
        <f>'[16]F 1 _ Echant et Séchage'!H26</f>
        <v>0.5</v>
      </c>
      <c r="H10" s="260"/>
      <c r="I10" s="9"/>
      <c r="J10" s="1" t="s">
        <v>10</v>
      </c>
    </row>
    <row r="11" spans="1:10" x14ac:dyDescent="0.25">
      <c r="A11" s="1"/>
      <c r="B11" s="583"/>
      <c r="C11" s="583"/>
      <c r="D11" s="583" t="s">
        <v>11</v>
      </c>
      <c r="E11" s="583"/>
      <c r="F11" s="583"/>
      <c r="G11" s="10">
        <f>G9/1000/G10</f>
        <v>0.2492</v>
      </c>
      <c r="H11" s="10"/>
      <c r="I11" s="3"/>
      <c r="J11" s="3" t="s">
        <v>12</v>
      </c>
    </row>
    <row r="12" spans="1:10" x14ac:dyDescent="0.25">
      <c r="A12" s="1"/>
      <c r="B12" s="7"/>
      <c r="C12" s="1"/>
      <c r="D12" s="583" t="s">
        <v>13</v>
      </c>
      <c r="E12" s="583"/>
      <c r="F12" s="583"/>
      <c r="G12" s="236">
        <f>'[16]F 1 _ Echant et Séchage'!D51</f>
        <v>0.38715890850722318</v>
      </c>
      <c r="H12" s="11"/>
      <c r="I12" s="11"/>
      <c r="J12" s="1"/>
    </row>
    <row r="13" spans="1:10" x14ac:dyDescent="0.25">
      <c r="A13" s="1"/>
      <c r="B13" s="12"/>
      <c r="C13" s="1"/>
      <c r="D13" s="1"/>
      <c r="E13" s="1"/>
      <c r="F13" s="1"/>
      <c r="G13" s="234"/>
      <c r="H13" s="234"/>
      <c r="I13" s="234"/>
      <c r="J13" s="1"/>
    </row>
    <row r="14" spans="1:10" ht="18.75" x14ac:dyDescent="0.25">
      <c r="A14" s="584" t="s">
        <v>14</v>
      </c>
      <c r="B14" s="584"/>
      <c r="C14" s="584"/>
      <c r="D14" s="584"/>
      <c r="E14" s="584"/>
      <c r="F14" s="584"/>
      <c r="G14" s="584"/>
      <c r="H14" s="584"/>
      <c r="I14" s="584"/>
      <c r="J14" s="584"/>
    </row>
    <row r="15" spans="1:10" x14ac:dyDescent="0.25">
      <c r="A15" s="13"/>
      <c r="B15" s="13"/>
      <c r="C15" s="13"/>
      <c r="D15" s="13"/>
      <c r="E15" s="13"/>
      <c r="F15" s="13"/>
      <c r="G15" s="13"/>
      <c r="H15" s="13"/>
      <c r="I15" s="13"/>
      <c r="J15" s="13"/>
    </row>
    <row r="16" spans="1:10" ht="15.75" customHeight="1" thickBot="1" x14ac:dyDescent="0.3">
      <c r="A16" s="1"/>
      <c r="B16" s="1"/>
      <c r="C16" s="14" t="s">
        <v>15</v>
      </c>
      <c r="D16" s="15"/>
      <c r="E16" s="15"/>
      <c r="F16" s="15"/>
      <c r="G16" s="585" t="s">
        <v>16</v>
      </c>
      <c r="H16" s="650"/>
      <c r="I16" s="651"/>
      <c r="J16" s="650"/>
    </row>
    <row r="17" spans="1:10" ht="26.25" thickBot="1" x14ac:dyDescent="0.3">
      <c r="A17" s="138" t="s">
        <v>20</v>
      </c>
      <c r="B17" s="139" t="s">
        <v>21</v>
      </c>
      <c r="C17" s="16" t="s">
        <v>22</v>
      </c>
      <c r="D17" s="16" t="s">
        <v>23</v>
      </c>
      <c r="E17" s="16" t="s">
        <v>24</v>
      </c>
      <c r="F17" s="17" t="s">
        <v>25</v>
      </c>
      <c r="G17" s="586"/>
      <c r="H17" s="650"/>
      <c r="I17" s="651"/>
      <c r="J17" s="650"/>
    </row>
    <row r="18" spans="1:10" ht="25.5" x14ac:dyDescent="0.25">
      <c r="A18" s="259" t="s">
        <v>109</v>
      </c>
      <c r="B18" s="18" t="s">
        <v>111</v>
      </c>
      <c r="C18" s="19">
        <f>'[16]F 4 TRI _ Granulo'!K5</f>
        <v>30.026765799256509</v>
      </c>
      <c r="D18" s="20">
        <f>'[16]F 4 TRI _ Granulo'!H5</f>
        <v>25.86</v>
      </c>
      <c r="E18" s="20">
        <f>'[16]F 4 TRI _ Granulo'!E5</f>
        <v>0.46</v>
      </c>
      <c r="F18" s="20">
        <f>SUM(C18:E18)</f>
        <v>56.346765799256509</v>
      </c>
      <c r="G18" s="21">
        <f>F18/$F$21</f>
        <v>0.73770043403648078</v>
      </c>
      <c r="H18" s="98"/>
      <c r="I18" s="99"/>
      <c r="J18" s="99"/>
    </row>
    <row r="19" spans="1:10" ht="25.5" x14ac:dyDescent="0.25">
      <c r="A19" s="258" t="s">
        <v>110</v>
      </c>
      <c r="B19" s="18" t="s">
        <v>112</v>
      </c>
      <c r="C19" s="19">
        <f>'[16]F 4 TRI _ Granulo'!K6</f>
        <v>6.515241635687735</v>
      </c>
      <c r="D19" s="20">
        <f>'[16]F 4 TRI _ Granulo'!H6</f>
        <v>5.6</v>
      </c>
      <c r="E19" s="20">
        <f>'[16]F 4 TRI _ Granulo'!E6</f>
        <v>0</v>
      </c>
      <c r="F19" s="20">
        <f>SUM(C19:E19)</f>
        <v>12.115241635687735</v>
      </c>
      <c r="G19" s="21">
        <f>F19/$F$21</f>
        <v>0.15861458748039828</v>
      </c>
      <c r="H19" s="98"/>
      <c r="I19" s="100"/>
      <c r="J19" s="100"/>
    </row>
    <row r="20" spans="1:10" x14ac:dyDescent="0.25">
      <c r="A20" s="22" t="s">
        <v>74</v>
      </c>
      <c r="B20" s="23">
        <f>'[16]F 3 _ Criblage et Tri'!C27+'[16]F 3 _ Criblage et Tri'!D27</f>
        <v>6.0200000000000005</v>
      </c>
      <c r="C20" s="19">
        <f>'[16]F 4 TRI _ Granulo'!K7</f>
        <v>1.6996282527881057</v>
      </c>
      <c r="D20" s="20">
        <f>'[16]F 4 TRI _ Granulo'!H7</f>
        <v>0.20000000000000018</v>
      </c>
      <c r="E20" s="20">
        <f>'[16]F 4 TRI _ Granulo'!E7</f>
        <v>0</v>
      </c>
      <c r="F20" s="19">
        <f>SUM(B20:E20)</f>
        <v>7.9196282527881063</v>
      </c>
      <c r="G20" s="21">
        <f>F20/$F$21</f>
        <v>0.10368497848312087</v>
      </c>
      <c r="H20" s="98"/>
      <c r="I20" s="101"/>
      <c r="J20" s="101"/>
    </row>
    <row r="21" spans="1:10" x14ac:dyDescent="0.25">
      <c r="A21" s="25" t="s">
        <v>25</v>
      </c>
      <c r="B21" s="90">
        <f>B20</f>
        <v>6.0200000000000005</v>
      </c>
      <c r="C21" s="19">
        <f>SUM(C18:C20)</f>
        <v>38.241635687732355</v>
      </c>
      <c r="D21" s="19">
        <f>SUM(D18:D20)</f>
        <v>31.66</v>
      </c>
      <c r="E21" s="19">
        <f>SUM(E18:E20)</f>
        <v>0.46</v>
      </c>
      <c r="F21" s="19">
        <f>SUM(B21:E21)</f>
        <v>76.381635687732356</v>
      </c>
      <c r="G21" s="21">
        <f>F21/$F$21</f>
        <v>1</v>
      </c>
      <c r="H21" s="98"/>
      <c r="I21" s="101"/>
      <c r="J21" s="101"/>
    </row>
    <row r="22" spans="1:10" ht="51.75" x14ac:dyDescent="0.25">
      <c r="A22" s="26" t="s">
        <v>75</v>
      </c>
      <c r="B22" s="235">
        <f>B21/$F$21</f>
        <v>7.8814756266955305E-2</v>
      </c>
      <c r="C22" s="235">
        <f>C21/$F$21</f>
        <v>0.50066531494656563</v>
      </c>
      <c r="D22" s="235">
        <f>D21/$F$21</f>
        <v>0.41449753877272505</v>
      </c>
      <c r="E22" s="235">
        <f>E21/$F$21</f>
        <v>6.0223900137540594E-3</v>
      </c>
      <c r="F22" s="235">
        <f>F21/$F$21</f>
        <v>1</v>
      </c>
      <c r="G22" s="1"/>
      <c r="H22" s="1"/>
      <c r="I22" s="1"/>
      <c r="J22" s="1"/>
    </row>
    <row r="23" spans="1:10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</row>
    <row r="24" spans="1:10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</row>
  </sheetData>
  <mergeCells count="13">
    <mergeCell ref="D12:F12"/>
    <mergeCell ref="A14:J14"/>
    <mergeCell ref="G16:G17"/>
    <mergeCell ref="H16:H17"/>
    <mergeCell ref="I16:I17"/>
    <mergeCell ref="J16:J17"/>
    <mergeCell ref="B11:C11"/>
    <mergeCell ref="D11:F11"/>
    <mergeCell ref="B2:F2"/>
    <mergeCell ref="B3:F3"/>
    <mergeCell ref="A7:J7"/>
    <mergeCell ref="D9:F9"/>
    <mergeCell ref="D10:F10"/>
  </mergeCell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workbookViewId="0">
      <selection sqref="A1:J24"/>
    </sheetView>
  </sheetViews>
  <sheetFormatPr baseColWidth="10" defaultRowHeight="15" x14ac:dyDescent="0.25"/>
  <sheetData>
    <row r="1" spans="1:10" x14ac:dyDescent="0.2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5.75" x14ac:dyDescent="0.25">
      <c r="A2" s="1" t="s">
        <v>0</v>
      </c>
      <c r="B2" s="582" t="str">
        <f>'[17]F 1 _ Echant et Séchage'!D5</f>
        <v>STO-E15-PB-BAN</v>
      </c>
      <c r="C2" s="582"/>
      <c r="D2" s="582"/>
      <c r="E2" s="582"/>
      <c r="F2" s="582"/>
      <c r="G2" s="2"/>
      <c r="H2" s="2"/>
      <c r="I2" s="2"/>
      <c r="J2" s="2"/>
    </row>
    <row r="3" spans="1:10" x14ac:dyDescent="0.25">
      <c r="A3" s="1" t="s">
        <v>1</v>
      </c>
      <c r="B3" s="589" t="str">
        <f>'[17]F 1 _ Echant et Séchage'!D6</f>
        <v>CD 387 GW LEVALLOIS</v>
      </c>
      <c r="C3" s="589"/>
      <c r="D3" s="589"/>
      <c r="E3" s="589"/>
      <c r="F3" s="589"/>
      <c r="G3" s="3"/>
      <c r="H3" s="3"/>
      <c r="I3" s="3"/>
      <c r="J3" s="3"/>
    </row>
    <row r="4" spans="1:10" x14ac:dyDescent="0.25">
      <c r="A4" s="1" t="s">
        <v>2</v>
      </c>
      <c r="B4" s="260"/>
      <c r="C4" s="260" t="str">
        <f>'[17]F 1 _ Echant et Séchage'!D8</f>
        <v>SAINT OUEN</v>
      </c>
      <c r="D4" s="260"/>
      <c r="E4" s="260"/>
      <c r="F4" s="260"/>
      <c r="G4" s="3"/>
      <c r="H4" s="3"/>
      <c r="I4" s="3"/>
      <c r="J4" s="3"/>
    </row>
    <row r="5" spans="1:10" x14ac:dyDescent="0.25">
      <c r="A5" s="1" t="s">
        <v>3</v>
      </c>
      <c r="B5" s="260"/>
      <c r="C5" s="260" t="str">
        <f>'[17]F 1 _ Echant et Séchage'!E15</f>
        <v>sec, ensoleillé</v>
      </c>
      <c r="D5" s="260"/>
      <c r="E5" s="260"/>
      <c r="F5" s="260"/>
      <c r="G5" s="3"/>
      <c r="H5" s="3"/>
      <c r="I5" s="3"/>
      <c r="J5" s="3"/>
    </row>
    <row r="6" spans="1:10" x14ac:dyDescent="0.25">
      <c r="A6" s="1"/>
      <c r="B6" s="1"/>
      <c r="C6" s="1"/>
      <c r="D6" s="1"/>
      <c r="E6" s="1"/>
      <c r="F6" s="1"/>
      <c r="G6" s="1"/>
      <c r="H6" s="1"/>
      <c r="I6" s="1"/>
      <c r="J6" s="1"/>
    </row>
    <row r="7" spans="1:10" ht="18.75" x14ac:dyDescent="0.25">
      <c r="A7" s="584" t="s">
        <v>4</v>
      </c>
      <c r="B7" s="584"/>
      <c r="C7" s="584"/>
      <c r="D7" s="584"/>
      <c r="E7" s="584"/>
      <c r="F7" s="584"/>
      <c r="G7" s="584"/>
      <c r="H7" s="584"/>
      <c r="I7" s="584"/>
      <c r="J7" s="584"/>
    </row>
    <row r="8" spans="1:10" x14ac:dyDescent="0.25">
      <c r="A8" s="1"/>
      <c r="B8" s="1"/>
      <c r="C8" s="1"/>
      <c r="D8" s="1"/>
      <c r="E8" s="1"/>
      <c r="F8" s="1"/>
      <c r="G8" s="1"/>
      <c r="H8" s="1"/>
      <c r="I8" s="4"/>
      <c r="J8" s="1"/>
    </row>
    <row r="9" spans="1:10" x14ac:dyDescent="0.25">
      <c r="A9" s="1" t="s">
        <v>5</v>
      </c>
      <c r="B9" s="5">
        <f>'[17]F 1 _ Echant et Séchage'!B12</f>
        <v>42201</v>
      </c>
      <c r="C9" s="1"/>
      <c r="D9" s="583" t="s">
        <v>6</v>
      </c>
      <c r="E9" s="583"/>
      <c r="F9" s="583"/>
      <c r="G9" s="6">
        <f>'[17]F 1 _ Echant et Séchage'!G19</f>
        <v>126.7</v>
      </c>
      <c r="H9" s="6"/>
      <c r="I9" s="7"/>
      <c r="J9" s="1" t="s">
        <v>7</v>
      </c>
    </row>
    <row r="10" spans="1:10" x14ac:dyDescent="0.25">
      <c r="A10" s="1" t="s">
        <v>8</v>
      </c>
      <c r="B10" s="8" t="str">
        <f>'[17]F 1 _ Echant et Séchage'!E12</f>
        <v>22H00</v>
      </c>
      <c r="C10" s="1"/>
      <c r="D10" s="583" t="s">
        <v>9</v>
      </c>
      <c r="E10" s="583"/>
      <c r="F10" s="583"/>
      <c r="G10" s="260">
        <f>'[17]F 1 _ Echant et Séchage'!H26</f>
        <v>500</v>
      </c>
      <c r="H10" s="260"/>
      <c r="I10" s="9"/>
      <c r="J10" s="1" t="s">
        <v>10</v>
      </c>
    </row>
    <row r="11" spans="1:10" x14ac:dyDescent="0.25">
      <c r="A11" s="1"/>
      <c r="B11" s="583"/>
      <c r="C11" s="583"/>
      <c r="D11" s="583" t="s">
        <v>11</v>
      </c>
      <c r="E11" s="583"/>
      <c r="F11" s="583"/>
      <c r="G11" s="10">
        <f>G9/1000/G10</f>
        <v>2.5340000000000003E-4</v>
      </c>
      <c r="H11" s="10"/>
      <c r="I11" s="3"/>
      <c r="J11" s="3" t="s">
        <v>12</v>
      </c>
    </row>
    <row r="12" spans="1:10" x14ac:dyDescent="0.25">
      <c r="A12" s="1"/>
      <c r="B12" s="7"/>
      <c r="C12" s="1"/>
      <c r="D12" s="583" t="s">
        <v>13</v>
      </c>
      <c r="E12" s="583"/>
      <c r="F12" s="583"/>
      <c r="G12" s="236">
        <f>'[17]F 1 _ Echant et Séchage'!D51</f>
        <v>0.2812943962115233</v>
      </c>
      <c r="H12" s="11"/>
      <c r="I12" s="11"/>
      <c r="J12" s="1"/>
    </row>
    <row r="13" spans="1:10" x14ac:dyDescent="0.25">
      <c r="A13" s="1"/>
      <c r="B13" s="12"/>
      <c r="C13" s="1"/>
      <c r="D13" s="1"/>
      <c r="E13" s="1"/>
      <c r="F13" s="1"/>
      <c r="G13" s="234"/>
      <c r="H13" s="234"/>
      <c r="I13" s="234"/>
      <c r="J13" s="1"/>
    </row>
    <row r="14" spans="1:10" ht="18.75" x14ac:dyDescent="0.25">
      <c r="A14" s="584" t="s">
        <v>14</v>
      </c>
      <c r="B14" s="584"/>
      <c r="C14" s="584"/>
      <c r="D14" s="584"/>
      <c r="E14" s="584"/>
      <c r="F14" s="584"/>
      <c r="G14" s="584"/>
      <c r="H14" s="584"/>
      <c r="I14" s="584"/>
      <c r="J14" s="584"/>
    </row>
    <row r="15" spans="1:10" x14ac:dyDescent="0.25">
      <c r="A15" s="13"/>
      <c r="B15" s="13"/>
      <c r="C15" s="13"/>
      <c r="D15" s="13"/>
      <c r="E15" s="13"/>
      <c r="F15" s="13"/>
      <c r="G15" s="13"/>
      <c r="H15" s="13"/>
      <c r="I15" s="13"/>
      <c r="J15" s="13"/>
    </row>
    <row r="16" spans="1:10" ht="15.75" customHeight="1" thickBot="1" x14ac:dyDescent="0.3">
      <c r="A16" s="1"/>
      <c r="B16" s="1"/>
      <c r="C16" s="14" t="s">
        <v>15</v>
      </c>
      <c r="D16" s="15"/>
      <c r="E16" s="15"/>
      <c r="F16" s="15"/>
      <c r="G16" s="585" t="s">
        <v>16</v>
      </c>
      <c r="H16" s="650"/>
      <c r="I16" s="651"/>
      <c r="J16" s="650"/>
    </row>
    <row r="17" spans="1:10" ht="26.25" thickBot="1" x14ac:dyDescent="0.3">
      <c r="A17" s="138" t="s">
        <v>20</v>
      </c>
      <c r="B17" s="139" t="s">
        <v>21</v>
      </c>
      <c r="C17" s="16" t="s">
        <v>22</v>
      </c>
      <c r="D17" s="16" t="s">
        <v>23</v>
      </c>
      <c r="E17" s="16" t="s">
        <v>24</v>
      </c>
      <c r="F17" s="17" t="s">
        <v>25</v>
      </c>
      <c r="G17" s="586"/>
      <c r="H17" s="650"/>
      <c r="I17" s="651"/>
      <c r="J17" s="650"/>
    </row>
    <row r="18" spans="1:10" ht="25.5" x14ac:dyDescent="0.25">
      <c r="A18" s="259" t="s">
        <v>109</v>
      </c>
      <c r="B18" s="18" t="s">
        <v>111</v>
      </c>
      <c r="C18" s="19">
        <f>'[17]F 4 TRI _ Granulo'!K5</f>
        <v>29.745000000000005</v>
      </c>
      <c r="D18" s="20">
        <f>'[17]F 4 TRI _ Granulo'!H5</f>
        <v>35.120000000000005</v>
      </c>
      <c r="E18" s="20">
        <f>'[17]F 4 TRI _ Granulo'!E5</f>
        <v>4.82</v>
      </c>
      <c r="F18" s="20">
        <f>SUM(C18:E18)</f>
        <v>69.685000000000002</v>
      </c>
      <c r="G18" s="21">
        <f>F18/$F$21</f>
        <v>0.77839244673929109</v>
      </c>
      <c r="H18" s="98"/>
      <c r="I18" s="99"/>
      <c r="J18" s="99"/>
    </row>
    <row r="19" spans="1:10" ht="25.5" x14ac:dyDescent="0.25">
      <c r="A19" s="258" t="s">
        <v>110</v>
      </c>
      <c r="B19" s="18" t="s">
        <v>112</v>
      </c>
      <c r="C19" s="19">
        <f>'[17]F 4 TRI _ Granulo'!K6</f>
        <v>8.593</v>
      </c>
      <c r="D19" s="20">
        <f>'[17]F 4 TRI _ Granulo'!H6</f>
        <v>1.3200000000000003</v>
      </c>
      <c r="E19" s="20">
        <f>'[17]F 4 TRI _ Granulo'!E6</f>
        <v>0</v>
      </c>
      <c r="F19" s="20">
        <f>SUM(C19:E19)</f>
        <v>9.9130000000000003</v>
      </c>
      <c r="G19" s="21">
        <f>F19/$F$21</f>
        <v>0.11072977433488689</v>
      </c>
      <c r="H19" s="98"/>
      <c r="I19" s="100"/>
      <c r="J19" s="100"/>
    </row>
    <row r="20" spans="1:10" x14ac:dyDescent="0.25">
      <c r="A20" s="22" t="s">
        <v>74</v>
      </c>
      <c r="B20" s="23">
        <f>'[17]F 3 _ Criblage et Tri'!C27+'[17]F 3 _ Criblage et Tri'!D27</f>
        <v>8.92</v>
      </c>
      <c r="C20" s="19">
        <f>'[17]F 4 TRI _ Granulo'!K7</f>
        <v>0.82625000000000071</v>
      </c>
      <c r="D20" s="20">
        <f>'[17]F 4 TRI _ Granulo'!H7</f>
        <v>0.18000000000000016</v>
      </c>
      <c r="E20" s="20">
        <f>'[17]F 4 TRI _ Granulo'!E7</f>
        <v>0</v>
      </c>
      <c r="F20" s="19">
        <f>SUM(B20:E20)</f>
        <v>9.9262499999999996</v>
      </c>
      <c r="G20" s="21">
        <f>F20/$F$21</f>
        <v>0.11087777892582174</v>
      </c>
      <c r="H20" s="98"/>
      <c r="I20" s="101"/>
      <c r="J20" s="101"/>
    </row>
    <row r="21" spans="1:10" x14ac:dyDescent="0.25">
      <c r="A21" s="25" t="s">
        <v>25</v>
      </c>
      <c r="B21" s="90">
        <f>B20</f>
        <v>8.92</v>
      </c>
      <c r="C21" s="19">
        <f>SUM(C18:C20)</f>
        <v>39.16425000000001</v>
      </c>
      <c r="D21" s="19">
        <f>SUM(D18:D20)</f>
        <v>36.620000000000005</v>
      </c>
      <c r="E21" s="19">
        <f>SUM(E18:E20)</f>
        <v>4.82</v>
      </c>
      <c r="F21" s="19">
        <f>SUM(B21:E21)</f>
        <v>89.524250000000023</v>
      </c>
      <c r="G21" s="21">
        <f>F21/$F$21</f>
        <v>1</v>
      </c>
      <c r="H21" s="98"/>
      <c r="I21" s="101"/>
      <c r="J21" s="101"/>
    </row>
    <row r="22" spans="1:10" ht="51.75" x14ac:dyDescent="0.25">
      <c r="A22" s="26" t="s">
        <v>75</v>
      </c>
      <c r="B22" s="235">
        <f>B21/$F$21</f>
        <v>9.9637807633127309E-2</v>
      </c>
      <c r="C22" s="235">
        <f>C21/$F$21</f>
        <v>0.4374708528694739</v>
      </c>
      <c r="D22" s="235">
        <f>D21/$F$21</f>
        <v>0.40905117887052944</v>
      </c>
      <c r="E22" s="235">
        <f>E21/$F$21</f>
        <v>5.3840160626869242E-2</v>
      </c>
      <c r="F22" s="235">
        <f>F21/$F$21</f>
        <v>1</v>
      </c>
      <c r="G22" s="1"/>
      <c r="H22" s="1"/>
      <c r="I22" s="1"/>
      <c r="J22" s="1"/>
    </row>
    <row r="23" spans="1:10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</row>
    <row r="24" spans="1:10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</row>
  </sheetData>
  <mergeCells count="13">
    <mergeCell ref="B2:F2"/>
    <mergeCell ref="D12:F12"/>
    <mergeCell ref="A14:J14"/>
    <mergeCell ref="G16:G17"/>
    <mergeCell ref="B3:F3"/>
    <mergeCell ref="A7:J7"/>
    <mergeCell ref="D9:F9"/>
    <mergeCell ref="D10:F10"/>
    <mergeCell ref="B11:C11"/>
    <mergeCell ref="D11:F11"/>
    <mergeCell ref="H16:H17"/>
    <mergeCell ref="I16:I17"/>
    <mergeCell ref="J16:J17"/>
  </mergeCell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workbookViewId="0">
      <selection activeCell="R22" sqref="R22"/>
    </sheetView>
  </sheetViews>
  <sheetFormatPr baseColWidth="10" defaultRowHeight="15" x14ac:dyDescent="0.25"/>
  <sheetData>
    <row r="1" spans="1:1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5.75" x14ac:dyDescent="0.25">
      <c r="A2" s="1" t="s">
        <v>0</v>
      </c>
      <c r="B2" s="582" t="str">
        <f>'[18]F 1 _ Echant et Séchage'!D5</f>
        <v>STO-E15-PC-PAR</v>
      </c>
      <c r="C2" s="582"/>
      <c r="D2" s="582"/>
      <c r="E2" s="582"/>
      <c r="F2" s="582"/>
      <c r="G2" s="2"/>
      <c r="H2" s="2"/>
      <c r="I2" s="2"/>
      <c r="J2" s="2"/>
      <c r="K2" s="1"/>
    </row>
    <row r="3" spans="1:11" x14ac:dyDescent="0.25">
      <c r="A3" s="1" t="s">
        <v>1</v>
      </c>
      <c r="B3" s="589" t="str">
        <f>'[18]F 1 _ Echant et Séchage'!D6</f>
        <v>DK 399 CY - 18E ARRDT</v>
      </c>
      <c r="C3" s="589"/>
      <c r="D3" s="589"/>
      <c r="E3" s="589"/>
      <c r="F3" s="589"/>
      <c r="G3" s="3"/>
      <c r="H3" s="3"/>
      <c r="I3" s="3"/>
      <c r="J3" s="3"/>
      <c r="K3" s="1"/>
    </row>
    <row r="4" spans="1:11" x14ac:dyDescent="0.25">
      <c r="A4" s="1" t="s">
        <v>2</v>
      </c>
      <c r="B4" s="260"/>
      <c r="C4" s="260" t="str">
        <f>'[18]F 1 _ Echant et Séchage'!D8</f>
        <v>SAINT OUEN</v>
      </c>
      <c r="D4" s="260"/>
      <c r="E4" s="260"/>
      <c r="F4" s="260"/>
      <c r="G4" s="3"/>
      <c r="H4" s="3"/>
      <c r="I4" s="3"/>
      <c r="J4" s="3"/>
      <c r="K4" s="1"/>
    </row>
    <row r="5" spans="1:11" x14ac:dyDescent="0.25">
      <c r="A5" s="1" t="s">
        <v>3</v>
      </c>
      <c r="B5" s="260"/>
      <c r="C5" s="260" t="str">
        <f>'[18]F 1 _ Echant et Séchage'!E15</f>
        <v>sec, ensoleillé</v>
      </c>
      <c r="D5" s="260"/>
      <c r="E5" s="260"/>
      <c r="F5" s="260"/>
      <c r="G5" s="3"/>
      <c r="H5" s="3"/>
      <c r="I5" s="3"/>
      <c r="J5" s="3"/>
      <c r="K5" s="1"/>
    </row>
    <row r="6" spans="1:1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ht="18.75" x14ac:dyDescent="0.25">
      <c r="A7" s="584" t="s">
        <v>4</v>
      </c>
      <c r="B7" s="584"/>
      <c r="C7" s="584"/>
      <c r="D7" s="584"/>
      <c r="E7" s="584"/>
      <c r="F7" s="584"/>
      <c r="G7" s="584"/>
      <c r="H7" s="584"/>
      <c r="I7" s="584"/>
      <c r="J7" s="584"/>
      <c r="K7" s="1"/>
    </row>
    <row r="8" spans="1:11" x14ac:dyDescent="0.25">
      <c r="A8" s="1"/>
      <c r="B8" s="1"/>
      <c r="C8" s="1"/>
      <c r="D8" s="1"/>
      <c r="E8" s="1"/>
      <c r="F8" s="1"/>
      <c r="G8" s="1"/>
      <c r="H8" s="1"/>
      <c r="I8" s="4"/>
      <c r="J8" s="1"/>
      <c r="K8" s="1"/>
    </row>
    <row r="9" spans="1:11" x14ac:dyDescent="0.25">
      <c r="A9" s="1" t="s">
        <v>5</v>
      </c>
      <c r="B9" s="5">
        <f>'[18]F 1 _ Echant et Séchage'!B12</f>
        <v>42201</v>
      </c>
      <c r="C9" s="1"/>
      <c r="D9" s="583" t="s">
        <v>6</v>
      </c>
      <c r="E9" s="583"/>
      <c r="F9" s="583"/>
      <c r="G9" s="6">
        <f>'[18]F 1 _ Echant et Séchage'!G19</f>
        <v>129.4</v>
      </c>
      <c r="H9" s="6"/>
      <c r="I9" s="7"/>
      <c r="J9" s="1" t="s">
        <v>7</v>
      </c>
      <c r="K9" s="1"/>
    </row>
    <row r="10" spans="1:11" x14ac:dyDescent="0.25">
      <c r="A10" s="1" t="s">
        <v>8</v>
      </c>
      <c r="B10" s="8" t="str">
        <f>'[18]F 1 _ Echant et Séchage'!E12</f>
        <v>19H10</v>
      </c>
      <c r="C10" s="1"/>
      <c r="D10" s="583" t="s">
        <v>9</v>
      </c>
      <c r="E10" s="583"/>
      <c r="F10" s="583"/>
      <c r="G10" s="260">
        <f>'[18]F 1 _ Echant et Séchage'!H26</f>
        <v>425</v>
      </c>
      <c r="H10" s="260"/>
      <c r="I10" s="9"/>
      <c r="J10" s="1" t="s">
        <v>10</v>
      </c>
      <c r="K10" s="1"/>
    </row>
    <row r="11" spans="1:11" x14ac:dyDescent="0.25">
      <c r="A11" s="1"/>
      <c r="B11" s="583"/>
      <c r="C11" s="583"/>
      <c r="D11" s="583" t="s">
        <v>11</v>
      </c>
      <c r="E11" s="583"/>
      <c r="F11" s="583"/>
      <c r="G11" s="10">
        <f>G9/1000/G10</f>
        <v>3.0447058823529418E-4</v>
      </c>
      <c r="H11" s="10"/>
      <c r="I11" s="3"/>
      <c r="J11" s="3" t="s">
        <v>12</v>
      </c>
      <c r="K11" s="1"/>
    </row>
    <row r="12" spans="1:11" x14ac:dyDescent="0.25">
      <c r="A12" s="1"/>
      <c r="B12" s="7"/>
      <c r="C12" s="1"/>
      <c r="D12" s="583" t="s">
        <v>13</v>
      </c>
      <c r="E12" s="583"/>
      <c r="F12" s="583"/>
      <c r="G12" s="236">
        <f>'[18]F 1 _ Echant et Séchage'!D51</f>
        <v>0.41081916537867075</v>
      </c>
      <c r="H12" s="11"/>
      <c r="I12" s="11"/>
      <c r="J12" s="1"/>
      <c r="K12" s="1"/>
    </row>
    <row r="13" spans="1:11" x14ac:dyDescent="0.25">
      <c r="A13" s="1"/>
      <c r="B13" s="12"/>
      <c r="C13" s="1"/>
      <c r="D13" s="1"/>
      <c r="E13" s="1"/>
      <c r="F13" s="1"/>
      <c r="G13" s="234"/>
      <c r="H13" s="234"/>
      <c r="I13" s="234"/>
      <c r="J13" s="1"/>
      <c r="K13" s="1"/>
    </row>
    <row r="14" spans="1:11" ht="18.75" x14ac:dyDescent="0.25">
      <c r="A14" s="584" t="s">
        <v>14</v>
      </c>
      <c r="B14" s="584"/>
      <c r="C14" s="584"/>
      <c r="D14" s="584"/>
      <c r="E14" s="584"/>
      <c r="F14" s="584"/>
      <c r="G14" s="584"/>
      <c r="H14" s="584"/>
      <c r="I14" s="584"/>
      <c r="J14" s="584"/>
      <c r="K14" s="1"/>
    </row>
    <row r="15" spans="1:11" x14ac:dyDescent="0.25">
      <c r="A15" s="13"/>
      <c r="B15" s="13"/>
      <c r="C15" s="13"/>
      <c r="D15" s="13"/>
      <c r="E15" s="13"/>
      <c r="F15" s="13"/>
      <c r="G15" s="13"/>
      <c r="H15" s="13"/>
      <c r="I15" s="13"/>
      <c r="J15" s="13"/>
      <c r="K15" s="1"/>
    </row>
    <row r="16" spans="1:11" ht="15.75" customHeight="1" thickBot="1" x14ac:dyDescent="0.3">
      <c r="A16" s="1"/>
      <c r="B16" s="1"/>
      <c r="C16" s="14" t="s">
        <v>15</v>
      </c>
      <c r="D16" s="15"/>
      <c r="E16" s="15"/>
      <c r="F16" s="15"/>
      <c r="G16" s="585" t="s">
        <v>16</v>
      </c>
      <c r="H16" s="650"/>
      <c r="I16" s="651"/>
      <c r="J16" s="650"/>
      <c r="K16" s="1"/>
    </row>
    <row r="17" spans="1:15" ht="26.25" thickBot="1" x14ac:dyDescent="0.3">
      <c r="A17" s="138" t="s">
        <v>20</v>
      </c>
      <c r="B17" s="139" t="s">
        <v>21</v>
      </c>
      <c r="C17" s="16" t="s">
        <v>22</v>
      </c>
      <c r="D17" s="16" t="s">
        <v>23</v>
      </c>
      <c r="E17" s="16" t="s">
        <v>24</v>
      </c>
      <c r="F17" s="17" t="s">
        <v>25</v>
      </c>
      <c r="G17" s="586"/>
      <c r="H17" s="650"/>
      <c r="I17" s="651"/>
      <c r="J17" s="650"/>
      <c r="K17" s="1"/>
    </row>
    <row r="18" spans="1:15" ht="25.5" x14ac:dyDescent="0.25">
      <c r="A18" s="259" t="s">
        <v>109</v>
      </c>
      <c r="B18" s="18" t="s">
        <v>111</v>
      </c>
      <c r="C18" s="19">
        <f>'[18]F 4 TRI _ Granulo'!K5</f>
        <v>24.773201320132024</v>
      </c>
      <c r="D18" s="20">
        <f>'[18]F 4 TRI _ Granulo'!H5</f>
        <v>16.64</v>
      </c>
      <c r="E18" s="20">
        <f>'[18]F 4 TRI _ Granulo'!E5</f>
        <v>6.1</v>
      </c>
      <c r="F18" s="20">
        <f>SUM(C18:E18)</f>
        <v>47.513201320132026</v>
      </c>
      <c r="G18" s="21">
        <f>F18/$F$21</f>
        <v>0.62599738234693048</v>
      </c>
      <c r="H18" s="98"/>
      <c r="I18" s="99"/>
      <c r="J18" s="99"/>
      <c r="K18" s="1"/>
    </row>
    <row r="19" spans="1:15" ht="25.5" x14ac:dyDescent="0.25">
      <c r="A19" s="258" t="s">
        <v>110</v>
      </c>
      <c r="B19" s="18" t="s">
        <v>112</v>
      </c>
      <c r="C19" s="19">
        <f>'[18]F 4 TRI _ Granulo'!K6</f>
        <v>11.950891089108913</v>
      </c>
      <c r="D19" s="20">
        <f>'[18]F 4 TRI _ Granulo'!H6</f>
        <v>5.6999999999999993</v>
      </c>
      <c r="E19" s="20">
        <f>'[18]F 4 TRI _ Granulo'!E6</f>
        <v>0</v>
      </c>
      <c r="F19" s="20">
        <f>SUM(C19:E19)</f>
        <v>17.65089108910891</v>
      </c>
      <c r="G19" s="21">
        <f>F19/$F$21</f>
        <v>0.23255455980380643</v>
      </c>
      <c r="H19" s="98"/>
      <c r="I19" s="100"/>
      <c r="J19" s="100"/>
      <c r="K19" s="1"/>
    </row>
    <row r="20" spans="1:15" x14ac:dyDescent="0.25">
      <c r="A20" s="22" t="s">
        <v>74</v>
      </c>
      <c r="B20" s="23">
        <f>'[18]F 3 _ Criblage et Tri'!C27+'[18]F 3 _ Criblage et Tri'!D27</f>
        <v>9.6000000000000014</v>
      </c>
      <c r="C20" s="19">
        <f>'[18]F 4 TRI _ Granulo'!K7</f>
        <v>0.99590759075907698</v>
      </c>
      <c r="D20" s="20">
        <f>'[18]F 4 TRI _ Granulo'!H7</f>
        <v>0.14000000000000012</v>
      </c>
      <c r="E20" s="20">
        <f>'[18]F 4 TRI _ Granulo'!E7</f>
        <v>0</v>
      </c>
      <c r="F20" s="19">
        <f>SUM(B20:E20)</f>
        <v>10.735907590759078</v>
      </c>
      <c r="G20" s="21">
        <f>F20/$F$21</f>
        <v>0.1414480578492632</v>
      </c>
      <c r="H20" s="98"/>
      <c r="I20" s="101"/>
      <c r="J20" s="101"/>
      <c r="K20" s="1"/>
    </row>
    <row r="21" spans="1:15" x14ac:dyDescent="0.25">
      <c r="A21" s="25" t="s">
        <v>25</v>
      </c>
      <c r="B21" s="90">
        <f>B20</f>
        <v>9.6000000000000014</v>
      </c>
      <c r="C21" s="19">
        <f>SUM(C18:C20)</f>
        <v>37.720000000000013</v>
      </c>
      <c r="D21" s="19">
        <f>SUM(D18:D20)</f>
        <v>22.48</v>
      </c>
      <c r="E21" s="19">
        <f>SUM(E18:E20)</f>
        <v>6.1</v>
      </c>
      <c r="F21" s="19">
        <f>SUM(B21:E21)</f>
        <v>75.900000000000006</v>
      </c>
      <c r="G21" s="21">
        <f>F21/$F$21</f>
        <v>1</v>
      </c>
      <c r="H21" s="98"/>
      <c r="I21" s="101"/>
      <c r="J21" s="101"/>
      <c r="K21" s="1"/>
    </row>
    <row r="22" spans="1:15" ht="51.75" x14ac:dyDescent="0.25">
      <c r="A22" s="26" t="s">
        <v>75</v>
      </c>
      <c r="B22" s="235">
        <f>B21/$F$21</f>
        <v>0.1264822134387352</v>
      </c>
      <c r="C22" s="235">
        <f>C21/$F$21</f>
        <v>0.49696969696969712</v>
      </c>
      <c r="D22" s="235">
        <f>D21/$F$21</f>
        <v>0.29617918313570485</v>
      </c>
      <c r="E22" s="235">
        <f>E21/$F$21</f>
        <v>8.0368906455862962E-2</v>
      </c>
      <c r="F22" s="235">
        <f>F21/$F$21</f>
        <v>1</v>
      </c>
      <c r="G22" s="1"/>
      <c r="H22" s="1"/>
      <c r="I22" s="1"/>
      <c r="J22" s="1"/>
      <c r="K22" s="1"/>
    </row>
    <row r="23" spans="1:15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5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</row>
    <row r="26" spans="1:15" x14ac:dyDescent="0.25">
      <c r="O26" s="239"/>
    </row>
  </sheetData>
  <mergeCells count="13">
    <mergeCell ref="B2:F2"/>
    <mergeCell ref="D12:F12"/>
    <mergeCell ref="A14:J14"/>
    <mergeCell ref="G16:G17"/>
    <mergeCell ref="B3:F3"/>
    <mergeCell ref="A7:J7"/>
    <mergeCell ref="D9:F9"/>
    <mergeCell ref="D10:F10"/>
    <mergeCell ref="B11:C11"/>
    <mergeCell ref="D11:F11"/>
    <mergeCell ref="H16:H17"/>
    <mergeCell ref="I16:I17"/>
    <mergeCell ref="J16:J17"/>
  </mergeCell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"/>
  <sheetViews>
    <sheetView workbookViewId="0">
      <selection activeCell="F30" sqref="F30"/>
    </sheetView>
  </sheetViews>
  <sheetFormatPr baseColWidth="10" defaultRowHeight="15" x14ac:dyDescent="0.25"/>
  <cols>
    <col min="2" max="2" width="30" customWidth="1"/>
    <col min="3" max="13" width="16.7109375" customWidth="1"/>
  </cols>
  <sheetData>
    <row r="1" spans="1:14" x14ac:dyDescent="0.25">
      <c r="A1" s="652"/>
      <c r="B1" s="91"/>
      <c r="C1" s="102" t="str">
        <f>'ISS E15 PC BAN'!B2</f>
        <v>ISS-E15-PC-BAN</v>
      </c>
      <c r="D1" s="103" t="str">
        <f>'ISS E15 PC PAR'!B2</f>
        <v>ISS-E15-PC-PAR</v>
      </c>
      <c r="E1" s="103" t="str">
        <f>'IVR E15 PC BAN'!B2</f>
        <v>IVR-E15-PC-BAN</v>
      </c>
      <c r="F1" s="103" t="str">
        <f>'IVR E15 PC PAR'!B2</f>
        <v>IVR-E15-PC-PAR</v>
      </c>
      <c r="G1" s="103" t="str">
        <f>'ROM E15 PC BAN '!B2</f>
        <v>ROM-E15-PC-BAN</v>
      </c>
      <c r="H1" s="103" t="str">
        <f>'ROM E15 PC PAR'!B2</f>
        <v>ROM-E15-PB-PAR</v>
      </c>
      <c r="I1" s="103" t="str">
        <f>'STO E15 PC BAN'!B2</f>
        <v>STO-E15-PB-BAN</v>
      </c>
      <c r="J1" s="103" t="str">
        <f>'STO E15 PC PAR'!B2</f>
        <v>STO-E15-PC-PAR</v>
      </c>
      <c r="K1" s="104" t="s">
        <v>76</v>
      </c>
      <c r="L1" s="105" t="s">
        <v>77</v>
      </c>
      <c r="M1" s="105" t="s">
        <v>78</v>
      </c>
    </row>
    <row r="2" spans="1:14" x14ac:dyDescent="0.25">
      <c r="A2" s="652"/>
      <c r="B2" s="93" t="str">
        <f>'[19]F 1 _ Echant et Séchage'!D5</f>
        <v>ISS A14 PB BAN</v>
      </c>
      <c r="C2" s="106">
        <f>'ISS E15 PC BAN'!G11</f>
        <v>0.25639999999999996</v>
      </c>
      <c r="D2" s="106">
        <f>'ISS E15 PC PAR'!G11</f>
        <v>0.28088888888888891</v>
      </c>
      <c r="E2" s="106">
        <f>'IVR E15 PC BAN'!G11</f>
        <v>0.31839999999999996</v>
      </c>
      <c r="F2" s="106">
        <f>'IVR E15 PC PAR'!G11</f>
        <v>0.27162105263157887</v>
      </c>
      <c r="G2" s="106" t="e">
        <f>'ROM E15 PC BAN '!G11</f>
        <v>#VALUE!</v>
      </c>
      <c r="H2" s="106">
        <f>'ROM E15 PC PAR'!G11</f>
        <v>0.2492</v>
      </c>
      <c r="I2" s="106">
        <f>'STO E15 PC BAN'!G11</f>
        <v>2.5340000000000003E-4</v>
      </c>
      <c r="J2" s="106">
        <f>'STO E15 PC PAR'!G11</f>
        <v>3.0447058823529418E-4</v>
      </c>
      <c r="K2" s="107" t="e">
        <f>AVERAGE(C2:J2)</f>
        <v>#VALUE!</v>
      </c>
      <c r="L2" s="107">
        <f>AVERAGE(D2,F2,H2,J2)</f>
        <v>0.20050360302717574</v>
      </c>
      <c r="M2" s="107" t="e">
        <f>AVERAGE(C2,E2,G2,I2)</f>
        <v>#VALUE!</v>
      </c>
    </row>
    <row r="3" spans="1:14" x14ac:dyDescent="0.25">
      <c r="A3" s="652"/>
      <c r="B3" s="93" t="s">
        <v>79</v>
      </c>
      <c r="C3" s="228">
        <f>'ISS E15 PC BAN'!G12</f>
        <v>0.37085803432137276</v>
      </c>
      <c r="D3" s="228">
        <f>'ISS E15 PC PAR'!G12</f>
        <v>0.39145569620253168</v>
      </c>
      <c r="E3" s="228">
        <f>'IVR E15 PC BAN'!G12</f>
        <v>0.36888347989949738</v>
      </c>
      <c r="F3" s="228">
        <f>'IVR E15 PC PAR'!G12</f>
        <v>0.47388001860176715</v>
      </c>
      <c r="G3" s="229">
        <f>'ROM E15 PC BAN '!G12</f>
        <v>0.4084550345887778</v>
      </c>
      <c r="H3" s="228">
        <f>'ROM E15 PC PAR'!G12</f>
        <v>0.38715890850722318</v>
      </c>
      <c r="I3" s="228">
        <f>'STO E15 PC BAN'!G12</f>
        <v>0.2812943962115233</v>
      </c>
      <c r="J3" s="228">
        <f>'STO E15 PC PAR'!G12</f>
        <v>0.41081916537867075</v>
      </c>
      <c r="K3" s="230">
        <f>AVERAGE(C3:J3)</f>
        <v>0.38660059171392047</v>
      </c>
      <c r="L3" s="230">
        <f>AVERAGE(D3,F3,H3,J3)</f>
        <v>0.41582844717254819</v>
      </c>
      <c r="M3" s="230">
        <f>AVERAGE(C3,E3,G3,I3)</f>
        <v>0.35737273625529281</v>
      </c>
    </row>
    <row r="4" spans="1:14" ht="15" customHeight="1" x14ac:dyDescent="0.25">
      <c r="A4" s="658"/>
      <c r="B4" s="658"/>
      <c r="C4" s="657" t="s">
        <v>16</v>
      </c>
      <c r="D4" s="657" t="s">
        <v>16</v>
      </c>
      <c r="E4" s="657" t="s">
        <v>16</v>
      </c>
      <c r="F4" s="657" t="s">
        <v>16</v>
      </c>
      <c r="G4" s="657" t="s">
        <v>16</v>
      </c>
      <c r="H4" s="657" t="s">
        <v>16</v>
      </c>
      <c r="I4" s="657" t="s">
        <v>16</v>
      </c>
      <c r="J4" s="657" t="s">
        <v>16</v>
      </c>
      <c r="K4" s="657" t="s">
        <v>107</v>
      </c>
      <c r="L4" s="657" t="s">
        <v>107</v>
      </c>
      <c r="M4" s="657" t="s">
        <v>107</v>
      </c>
    </row>
    <row r="5" spans="1:14" x14ac:dyDescent="0.25">
      <c r="A5" s="92" t="s">
        <v>20</v>
      </c>
      <c r="B5" s="92"/>
      <c r="C5" s="657"/>
      <c r="D5" s="657"/>
      <c r="E5" s="657"/>
      <c r="F5" s="657"/>
      <c r="G5" s="657"/>
      <c r="H5" s="657"/>
      <c r="I5" s="657"/>
      <c r="J5" s="657"/>
      <c r="K5" s="657"/>
      <c r="L5" s="657"/>
      <c r="M5" s="657"/>
    </row>
    <row r="6" spans="1:14" ht="38.25" customHeight="1" x14ac:dyDescent="0.25">
      <c r="A6" s="653" t="s">
        <v>56</v>
      </c>
      <c r="B6" s="654"/>
      <c r="C6" s="110">
        <f>'ISS E15 PC BAN'!G18</f>
        <v>0.85858498312996512</v>
      </c>
      <c r="D6" s="110">
        <f>'ISS E15 PC PAR'!G18</f>
        <v>0.67485100755687744</v>
      </c>
      <c r="E6" s="110">
        <f>'IVR E15 PC BAN'!G18</f>
        <v>0.6977335536009629</v>
      </c>
      <c r="F6" s="110">
        <f>'IVR E15 PC PAR'!G18</f>
        <v>0.71537787328540725</v>
      </c>
      <c r="G6" s="110">
        <f>'ROM E15 PC BAN '!G18</f>
        <v>0.75372112273308733</v>
      </c>
      <c r="H6" s="110">
        <f>'ROM E15 PC PAR'!G18</f>
        <v>0.73770043403648078</v>
      </c>
      <c r="I6" s="110">
        <f>'STO E15 PC BAN'!G18</f>
        <v>0.77839244673929109</v>
      </c>
      <c r="J6" s="110">
        <f>'STO E15 PC PAR'!G18</f>
        <v>0.62599738234693048</v>
      </c>
      <c r="K6" s="108">
        <f>AVERAGE(C6,D6,E6,F6,G6,H6,I6,J6)</f>
        <v>0.7302948504286253</v>
      </c>
      <c r="L6" s="108">
        <f>AVERAGE(D6,F6,H6,J6)</f>
        <v>0.68848167430642404</v>
      </c>
      <c r="M6" s="108">
        <f>AVERAGE(C6,E6,G6,I6)</f>
        <v>0.77210802655082666</v>
      </c>
      <c r="N6" s="232">
        <f>+(M6+L6)/2-K6</f>
        <v>0</v>
      </c>
    </row>
    <row r="7" spans="1:14" ht="38.25" customHeight="1" x14ac:dyDescent="0.25">
      <c r="A7" s="655" t="s">
        <v>67</v>
      </c>
      <c r="B7" s="656"/>
      <c r="C7" s="96">
        <f>'ISS E15 PC BAN'!G19</f>
        <v>3.2959163484384511E-2</v>
      </c>
      <c r="D7" s="96">
        <f>'ISS E15 PC PAR'!G19</f>
        <v>0.19828166601590433</v>
      </c>
      <c r="E7" s="96">
        <f>'IVR E15 PC BAN'!G19</f>
        <v>0.1556179284539766</v>
      </c>
      <c r="F7" s="96">
        <f>'IVR E15 PC PAR'!G19</f>
        <v>0.1769838448793489</v>
      </c>
      <c r="G7" s="96">
        <f>'ROM E15 PC BAN '!G19</f>
        <v>0.13334336669425842</v>
      </c>
      <c r="H7" s="96">
        <f>'ROM E15 PC PAR'!G19</f>
        <v>0.15861458748039828</v>
      </c>
      <c r="I7" s="96">
        <f>'STO E15 PC BAN'!G19</f>
        <v>0.11072977433488689</v>
      </c>
      <c r="J7" s="96">
        <f>'STO E15 PC PAR'!G19</f>
        <v>0.23255455980380643</v>
      </c>
      <c r="K7" s="60">
        <f>AVERAGE(C7,D7,E7,F7,G7,H7,I7,J7)</f>
        <v>0.14988561139337053</v>
      </c>
      <c r="L7" s="60">
        <f>AVERAGE(D7,F7,H7,J7)</f>
        <v>0.1916086645448645</v>
      </c>
      <c r="M7" s="60">
        <f>AVERAGE(C7,E7,G7,I7)</f>
        <v>0.10816255824187661</v>
      </c>
      <c r="N7" s="232">
        <f t="shared" ref="N7:N8" si="0">+(M7+L7)/2-K7</f>
        <v>0</v>
      </c>
    </row>
    <row r="8" spans="1:14" x14ac:dyDescent="0.25">
      <c r="A8" s="47" t="s">
        <v>74</v>
      </c>
      <c r="B8" s="109"/>
      <c r="C8" s="110">
        <f>'ISS E15 PC BAN'!G20</f>
        <v>0.10845585338565059</v>
      </c>
      <c r="D8" s="110">
        <f>'ISS E15 PC PAR'!G20</f>
        <v>0.12686732642721829</v>
      </c>
      <c r="E8" s="110">
        <f>'IVR E15 PC BAN'!G20</f>
        <v>0.14664851794506042</v>
      </c>
      <c r="F8" s="110">
        <f>'IVR E15 PC PAR'!G20</f>
        <v>0.10763828183524397</v>
      </c>
      <c r="G8" s="110">
        <f>'ROM E15 PC BAN '!G20</f>
        <v>0.11293551057265408</v>
      </c>
      <c r="H8" s="110">
        <f>'ROM E15 PC PAR'!G20</f>
        <v>0.10368497848312087</v>
      </c>
      <c r="I8" s="110">
        <f>'STO E15 PC BAN'!G20</f>
        <v>0.11087777892582174</v>
      </c>
      <c r="J8" s="110">
        <f>'STO E15 PC PAR'!G20</f>
        <v>0.1414480578492632</v>
      </c>
      <c r="K8" s="108">
        <f>AVERAGE(C8,D8,E8,F8,G8,H8,I8,J8)</f>
        <v>0.11981953817800414</v>
      </c>
      <c r="L8" s="108">
        <f>AVERAGE(D8,F8,H8,J8)</f>
        <v>0.11990966114871157</v>
      </c>
      <c r="M8" s="108">
        <f>AVERAGE(C8,E8,G8,I8)</f>
        <v>0.11972941520729671</v>
      </c>
      <c r="N8" s="232">
        <f t="shared" si="0"/>
        <v>0</v>
      </c>
    </row>
    <row r="9" spans="1:14" x14ac:dyDescent="0.25">
      <c r="A9" s="94" t="s">
        <v>25</v>
      </c>
      <c r="B9" s="95"/>
      <c r="C9" s="96">
        <f t="shared" ref="C9:M9" si="1">SUM(C6:C8)</f>
        <v>1.0000000000000002</v>
      </c>
      <c r="D9" s="97">
        <f t="shared" si="1"/>
        <v>1</v>
      </c>
      <c r="E9" s="97">
        <f t="shared" si="1"/>
        <v>0.99999999999999989</v>
      </c>
      <c r="F9" s="97">
        <f t="shared" si="1"/>
        <v>1.0000000000000002</v>
      </c>
      <c r="G9" s="97">
        <f t="shared" si="1"/>
        <v>0.99999999999999978</v>
      </c>
      <c r="H9" s="97">
        <f t="shared" si="1"/>
        <v>0.99999999999999989</v>
      </c>
      <c r="I9" s="97">
        <f t="shared" si="1"/>
        <v>0.99999999999999967</v>
      </c>
      <c r="J9" s="97">
        <f t="shared" si="1"/>
        <v>1.0000000000000002</v>
      </c>
      <c r="K9" s="97">
        <f t="shared" si="1"/>
        <v>1</v>
      </c>
      <c r="L9" s="97">
        <f t="shared" si="1"/>
        <v>1</v>
      </c>
      <c r="M9" s="97">
        <f t="shared" si="1"/>
        <v>1</v>
      </c>
    </row>
  </sheetData>
  <mergeCells count="15">
    <mergeCell ref="A1:A3"/>
    <mergeCell ref="A6:B6"/>
    <mergeCell ref="A7:B7"/>
    <mergeCell ref="M4:M5"/>
    <mergeCell ref="J4:J5"/>
    <mergeCell ref="K4:K5"/>
    <mergeCell ref="L4:L5"/>
    <mergeCell ref="G4:G5"/>
    <mergeCell ref="H4:H5"/>
    <mergeCell ref="I4:I5"/>
    <mergeCell ref="A4:B4"/>
    <mergeCell ref="C4:C5"/>
    <mergeCell ref="D4:D5"/>
    <mergeCell ref="E4:E5"/>
    <mergeCell ref="F4:F5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R97"/>
  <sheetViews>
    <sheetView zoomScaleNormal="100" workbookViewId="0">
      <pane xSplit="2" ySplit="1" topLeftCell="C84" activePane="bottomRight" state="frozen"/>
      <selection pane="topRight" activeCell="C1" sqref="C1"/>
      <selection pane="bottomLeft" activeCell="A2" sqref="A2"/>
      <selection pane="bottomRight" sqref="A1:O1048576"/>
    </sheetView>
  </sheetViews>
  <sheetFormatPr baseColWidth="10" defaultRowHeight="15" x14ac:dyDescent="0.25"/>
  <cols>
    <col min="1" max="1" width="10.42578125" style="261" bestFit="1" customWidth="1"/>
    <col min="2" max="2" width="11.7109375" bestFit="1" customWidth="1"/>
    <col min="3" max="3" width="10" customWidth="1"/>
    <col min="4" max="4" width="9.28515625" customWidth="1"/>
    <col min="5" max="5" width="9.140625" customWidth="1"/>
    <col min="6" max="6" width="9" customWidth="1"/>
    <col min="7" max="7" width="7.5703125" customWidth="1"/>
    <col min="8" max="8" width="10.28515625" customWidth="1"/>
    <col min="9" max="9" width="8.85546875" customWidth="1"/>
    <col min="10" max="10" width="10" customWidth="1"/>
    <col min="11" max="11" width="9.5703125" customWidth="1"/>
  </cols>
  <sheetData>
    <row r="1" spans="1:18" ht="90" thickBot="1" x14ac:dyDescent="0.3">
      <c r="B1" s="262" t="s">
        <v>138</v>
      </c>
      <c r="C1" s="263" t="s">
        <v>139</v>
      </c>
      <c r="D1" s="264" t="s">
        <v>140</v>
      </c>
      <c r="E1" s="265" t="s">
        <v>141</v>
      </c>
      <c r="F1" s="265" t="s">
        <v>141</v>
      </c>
      <c r="G1" s="264" t="s">
        <v>142</v>
      </c>
      <c r="H1" s="264" t="s">
        <v>143</v>
      </c>
      <c r="I1" s="264" t="s">
        <v>144</v>
      </c>
      <c r="J1" s="264" t="s">
        <v>145</v>
      </c>
      <c r="K1" s="264" t="s">
        <v>146</v>
      </c>
      <c r="L1" s="264" t="s">
        <v>147</v>
      </c>
      <c r="M1" s="266" t="s">
        <v>148</v>
      </c>
      <c r="N1" s="266" t="s">
        <v>149</v>
      </c>
      <c r="O1" s="267" t="s">
        <v>150</v>
      </c>
      <c r="P1" s="268" t="s">
        <v>151</v>
      </c>
      <c r="Q1" s="266" t="s">
        <v>149</v>
      </c>
    </row>
    <row r="2" spans="1:18" ht="15.75" hidden="1" thickBot="1" x14ac:dyDescent="0.3">
      <c r="A2" s="661" t="s">
        <v>152</v>
      </c>
      <c r="B2" s="269" t="s">
        <v>153</v>
      </c>
      <c r="C2" s="270"/>
      <c r="D2" s="271"/>
      <c r="E2" s="272">
        <f>D2+H2+I2+J2+K2</f>
        <v>0</v>
      </c>
      <c r="F2" s="273" t="str">
        <f t="shared" ref="F2:F65" si="0">IF(E2=C2,"ok","pas bon")</f>
        <v>ok</v>
      </c>
      <c r="G2" s="271"/>
      <c r="H2" s="274"/>
      <c r="I2" s="274"/>
      <c r="J2" s="274"/>
      <c r="K2" s="274"/>
      <c r="L2" s="271"/>
      <c r="M2" s="272">
        <f>G2+H2+J2+K2</f>
        <v>0</v>
      </c>
      <c r="N2" s="272" t="str">
        <f t="shared" ref="N2:N65" si="1">IF(M2=L2,"ok", "pas bon")</f>
        <v>ok</v>
      </c>
      <c r="O2" s="275"/>
      <c r="P2" s="276" t="e">
        <f>(C2-L2)/C2</f>
        <v>#DIV/0!</v>
      </c>
      <c r="Q2" t="e">
        <f>IF(O2=P2,"ok","pas bon")</f>
        <v>#DIV/0!</v>
      </c>
    </row>
    <row r="3" spans="1:18" ht="15.75" hidden="1" thickBot="1" x14ac:dyDescent="0.3">
      <c r="A3" s="662"/>
      <c r="B3" s="269" t="s">
        <v>154</v>
      </c>
      <c r="C3" s="277"/>
      <c r="D3" s="278"/>
      <c r="E3" s="272">
        <f t="shared" ref="E3:E66" si="2">D3+H3+I3+J3+K3</f>
        <v>0</v>
      </c>
      <c r="F3" s="272" t="str">
        <f t="shared" si="0"/>
        <v>ok</v>
      </c>
      <c r="G3" s="278"/>
      <c r="H3" s="279"/>
      <c r="I3" s="279"/>
      <c r="J3" s="279"/>
      <c r="K3" s="279"/>
      <c r="L3" s="278"/>
      <c r="M3" s="280">
        <f>G3+H3+J3+K3</f>
        <v>0</v>
      </c>
      <c r="N3" s="280" t="str">
        <f t="shared" si="1"/>
        <v>ok</v>
      </c>
      <c r="O3" s="281"/>
      <c r="P3" s="276" t="e">
        <f t="shared" ref="P3:P27" si="3">(C3-L3)/C3</f>
        <v>#DIV/0!</v>
      </c>
      <c r="Q3" t="e">
        <f t="shared" ref="Q3:Q66" si="4">IF(O3=P3,"ok","pas bon")</f>
        <v>#DIV/0!</v>
      </c>
    </row>
    <row r="4" spans="1:18" ht="15.75" hidden="1" thickBot="1" x14ac:dyDescent="0.3">
      <c r="A4" s="662"/>
      <c r="B4" s="269" t="s">
        <v>155</v>
      </c>
      <c r="C4" s="277"/>
      <c r="D4" s="278"/>
      <c r="E4" s="278">
        <f t="shared" si="2"/>
        <v>0</v>
      </c>
      <c r="F4" s="278" t="str">
        <f t="shared" si="0"/>
        <v>ok</v>
      </c>
      <c r="G4" s="278"/>
      <c r="H4" s="279"/>
      <c r="I4" s="279"/>
      <c r="J4" s="279"/>
      <c r="K4" s="279"/>
      <c r="L4" s="278"/>
      <c r="M4" s="272">
        <f t="shared" ref="M4:M67" si="5">G4+H4+J4+K4</f>
        <v>0</v>
      </c>
      <c r="N4" s="272" t="str">
        <f t="shared" si="1"/>
        <v>ok</v>
      </c>
      <c r="O4" s="281"/>
      <c r="P4" s="276" t="e">
        <f t="shared" si="3"/>
        <v>#DIV/0!</v>
      </c>
      <c r="Q4" t="e">
        <f t="shared" si="4"/>
        <v>#DIV/0!</v>
      </c>
    </row>
    <row r="5" spans="1:18" ht="15.75" hidden="1" thickBot="1" x14ac:dyDescent="0.3">
      <c r="A5" s="662"/>
      <c r="B5" s="269" t="s">
        <v>156</v>
      </c>
      <c r="C5" s="277"/>
      <c r="D5" s="278"/>
      <c r="E5" s="278">
        <f t="shared" si="2"/>
        <v>0</v>
      </c>
      <c r="F5" s="278" t="str">
        <f t="shared" si="0"/>
        <v>ok</v>
      </c>
      <c r="G5" s="278"/>
      <c r="H5" s="279"/>
      <c r="I5" s="279"/>
      <c r="J5" s="279"/>
      <c r="K5" s="279"/>
      <c r="L5" s="278"/>
      <c r="M5" s="272">
        <f t="shared" si="5"/>
        <v>0</v>
      </c>
      <c r="N5" s="272" t="str">
        <f t="shared" si="1"/>
        <v>ok</v>
      </c>
      <c r="O5" s="281"/>
      <c r="P5" s="276" t="e">
        <f t="shared" si="3"/>
        <v>#DIV/0!</v>
      </c>
      <c r="Q5" t="e">
        <f t="shared" si="4"/>
        <v>#DIV/0!</v>
      </c>
      <c r="R5" s="282"/>
    </row>
    <row r="6" spans="1:18" ht="15.75" hidden="1" thickBot="1" x14ac:dyDescent="0.3">
      <c r="A6" s="662"/>
      <c r="B6" s="269" t="s">
        <v>157</v>
      </c>
      <c r="C6" s="277"/>
      <c r="D6" s="278"/>
      <c r="E6" s="278">
        <f t="shared" si="2"/>
        <v>0</v>
      </c>
      <c r="F6" s="278" t="str">
        <f t="shared" si="0"/>
        <v>ok</v>
      </c>
      <c r="G6" s="278"/>
      <c r="H6" s="279"/>
      <c r="I6" s="279"/>
      <c r="J6" s="279"/>
      <c r="K6" s="279"/>
      <c r="L6" s="278"/>
      <c r="M6" s="272">
        <f t="shared" si="5"/>
        <v>0</v>
      </c>
      <c r="N6" s="272" t="str">
        <f t="shared" si="1"/>
        <v>ok</v>
      </c>
      <c r="O6" s="281"/>
      <c r="P6" s="276" t="e">
        <f t="shared" si="3"/>
        <v>#DIV/0!</v>
      </c>
      <c r="Q6" t="e">
        <f t="shared" si="4"/>
        <v>#DIV/0!</v>
      </c>
    </row>
    <row r="7" spans="1:18" ht="15.75" hidden="1" thickBot="1" x14ac:dyDescent="0.3">
      <c r="A7" s="662"/>
      <c r="B7" s="269" t="s">
        <v>158</v>
      </c>
      <c r="C7" s="277"/>
      <c r="D7" s="278"/>
      <c r="E7" s="278">
        <f t="shared" si="2"/>
        <v>0</v>
      </c>
      <c r="F7" s="278" t="str">
        <f t="shared" si="0"/>
        <v>ok</v>
      </c>
      <c r="G7" s="278"/>
      <c r="H7" s="279"/>
      <c r="I7" s="279"/>
      <c r="J7" s="279"/>
      <c r="K7" s="279"/>
      <c r="L7" s="278"/>
      <c r="M7" s="272">
        <f t="shared" si="5"/>
        <v>0</v>
      </c>
      <c r="N7" s="272" t="str">
        <f t="shared" si="1"/>
        <v>ok</v>
      </c>
      <c r="O7" s="281"/>
      <c r="P7" s="276" t="e">
        <f t="shared" si="3"/>
        <v>#DIV/0!</v>
      </c>
      <c r="Q7" t="e">
        <f t="shared" si="4"/>
        <v>#DIV/0!</v>
      </c>
    </row>
    <row r="8" spans="1:18" ht="15.75" hidden="1" thickBot="1" x14ac:dyDescent="0.3">
      <c r="A8" s="662"/>
      <c r="B8" s="269" t="s">
        <v>159</v>
      </c>
      <c r="C8" s="277"/>
      <c r="D8" s="278"/>
      <c r="E8" s="278">
        <f t="shared" si="2"/>
        <v>0</v>
      </c>
      <c r="F8" s="278" t="str">
        <f t="shared" si="0"/>
        <v>ok</v>
      </c>
      <c r="G8" s="278"/>
      <c r="H8" s="279"/>
      <c r="I8" s="279"/>
      <c r="J8" s="279"/>
      <c r="K8" s="279"/>
      <c r="L8" s="278"/>
      <c r="M8" s="272">
        <f t="shared" si="5"/>
        <v>0</v>
      </c>
      <c r="N8" s="272" t="str">
        <f t="shared" si="1"/>
        <v>ok</v>
      </c>
      <c r="O8" s="281"/>
      <c r="P8" s="276" t="e">
        <f t="shared" si="3"/>
        <v>#DIV/0!</v>
      </c>
      <c r="Q8" t="e">
        <f t="shared" si="4"/>
        <v>#DIV/0!</v>
      </c>
    </row>
    <row r="9" spans="1:18" ht="15.75" hidden="1" thickBot="1" x14ac:dyDescent="0.3">
      <c r="A9" s="662"/>
      <c r="B9" s="269" t="s">
        <v>160</v>
      </c>
      <c r="C9" s="277"/>
      <c r="D9" s="278"/>
      <c r="E9" s="278">
        <f t="shared" si="2"/>
        <v>0</v>
      </c>
      <c r="F9" s="278" t="str">
        <f t="shared" si="0"/>
        <v>ok</v>
      </c>
      <c r="G9" s="278"/>
      <c r="H9" s="279"/>
      <c r="I9" s="279"/>
      <c r="J9" s="279"/>
      <c r="K9" s="279"/>
      <c r="L9" s="278"/>
      <c r="M9" s="272">
        <f t="shared" si="5"/>
        <v>0</v>
      </c>
      <c r="N9" s="272" t="str">
        <f t="shared" si="1"/>
        <v>ok</v>
      </c>
      <c r="O9" s="281"/>
      <c r="P9" s="276" t="e">
        <f t="shared" si="3"/>
        <v>#DIV/0!</v>
      </c>
      <c r="Q9" t="e">
        <f t="shared" si="4"/>
        <v>#DIV/0!</v>
      </c>
      <c r="R9" s="282"/>
    </row>
    <row r="10" spans="1:18" ht="15.75" hidden="1" thickBot="1" x14ac:dyDescent="0.3">
      <c r="A10" s="662"/>
      <c r="B10" s="269" t="s">
        <v>161</v>
      </c>
      <c r="C10" s="277"/>
      <c r="D10" s="278"/>
      <c r="E10" s="278">
        <f t="shared" si="2"/>
        <v>0</v>
      </c>
      <c r="F10" s="278" t="str">
        <f t="shared" si="0"/>
        <v>ok</v>
      </c>
      <c r="G10" s="278"/>
      <c r="H10" s="279"/>
      <c r="I10" s="279"/>
      <c r="J10" s="279"/>
      <c r="K10" s="279"/>
      <c r="L10" s="278"/>
      <c r="M10" s="272">
        <f t="shared" si="5"/>
        <v>0</v>
      </c>
      <c r="N10" s="272" t="str">
        <f t="shared" si="1"/>
        <v>ok</v>
      </c>
      <c r="O10" s="281"/>
      <c r="P10" s="276" t="e">
        <f t="shared" si="3"/>
        <v>#DIV/0!</v>
      </c>
      <c r="Q10" t="e">
        <f t="shared" si="4"/>
        <v>#DIV/0!</v>
      </c>
    </row>
    <row r="11" spans="1:18" ht="15.75" hidden="1" thickBot="1" x14ac:dyDescent="0.3">
      <c r="A11" s="662"/>
      <c r="B11" s="269" t="s">
        <v>162</v>
      </c>
      <c r="C11" s="277"/>
      <c r="D11" s="278"/>
      <c r="E11" s="278">
        <f t="shared" si="2"/>
        <v>0</v>
      </c>
      <c r="F11" s="278" t="str">
        <f t="shared" si="0"/>
        <v>ok</v>
      </c>
      <c r="G11" s="278"/>
      <c r="H11" s="279"/>
      <c r="I11" s="279"/>
      <c r="J11" s="279"/>
      <c r="K11" s="279"/>
      <c r="L11" s="278"/>
      <c r="M11" s="272">
        <f t="shared" si="5"/>
        <v>0</v>
      </c>
      <c r="N11" s="272" t="str">
        <f t="shared" si="1"/>
        <v>ok</v>
      </c>
      <c r="O11" s="281"/>
      <c r="P11" s="276" t="e">
        <f t="shared" si="3"/>
        <v>#DIV/0!</v>
      </c>
      <c r="Q11" t="e">
        <f t="shared" si="4"/>
        <v>#DIV/0!</v>
      </c>
    </row>
    <row r="12" spans="1:18" ht="15.75" hidden="1" thickBot="1" x14ac:dyDescent="0.3">
      <c r="A12" s="662"/>
      <c r="B12" s="269" t="s">
        <v>163</v>
      </c>
      <c r="C12" s="277"/>
      <c r="D12" s="278"/>
      <c r="E12" s="278">
        <f t="shared" si="2"/>
        <v>0</v>
      </c>
      <c r="F12" s="278" t="str">
        <f t="shared" si="0"/>
        <v>ok</v>
      </c>
      <c r="G12" s="278"/>
      <c r="H12" s="279"/>
      <c r="I12" s="279"/>
      <c r="J12" s="279"/>
      <c r="K12" s="279"/>
      <c r="L12" s="278"/>
      <c r="M12" s="272">
        <f t="shared" si="5"/>
        <v>0</v>
      </c>
      <c r="N12" s="272" t="str">
        <f t="shared" si="1"/>
        <v>ok</v>
      </c>
      <c r="O12" s="281"/>
      <c r="P12" s="276" t="e">
        <f t="shared" si="3"/>
        <v>#DIV/0!</v>
      </c>
      <c r="Q12" t="e">
        <f t="shared" si="4"/>
        <v>#DIV/0!</v>
      </c>
    </row>
    <row r="13" spans="1:18" ht="15.75" hidden="1" thickBot="1" x14ac:dyDescent="0.3">
      <c r="A13" s="662"/>
      <c r="B13" s="269" t="s">
        <v>164</v>
      </c>
      <c r="C13" s="277"/>
      <c r="D13" s="278"/>
      <c r="E13" s="278">
        <f t="shared" si="2"/>
        <v>0</v>
      </c>
      <c r="F13" s="278" t="str">
        <f t="shared" si="0"/>
        <v>ok</v>
      </c>
      <c r="G13" s="278"/>
      <c r="H13" s="279"/>
      <c r="I13" s="279"/>
      <c r="J13" s="279"/>
      <c r="K13" s="279"/>
      <c r="L13" s="278"/>
      <c r="M13" s="272">
        <f t="shared" si="5"/>
        <v>0</v>
      </c>
      <c r="N13" s="272" t="str">
        <f t="shared" si="1"/>
        <v>ok</v>
      </c>
      <c r="O13" s="281"/>
      <c r="P13" s="276" t="e">
        <f t="shared" si="3"/>
        <v>#DIV/0!</v>
      </c>
      <c r="Q13" t="e">
        <f t="shared" si="4"/>
        <v>#DIV/0!</v>
      </c>
    </row>
    <row r="14" spans="1:18" ht="15.75" hidden="1" thickBot="1" x14ac:dyDescent="0.3">
      <c r="A14" s="662"/>
      <c r="B14" s="269" t="s">
        <v>165</v>
      </c>
      <c r="C14" s="277"/>
      <c r="D14" s="278"/>
      <c r="E14" s="278">
        <f t="shared" si="2"/>
        <v>0</v>
      </c>
      <c r="F14" s="278" t="str">
        <f t="shared" si="0"/>
        <v>ok</v>
      </c>
      <c r="G14" s="278"/>
      <c r="H14" s="279"/>
      <c r="I14" s="279"/>
      <c r="J14" s="279"/>
      <c r="K14" s="279"/>
      <c r="L14" s="278"/>
      <c r="M14" s="272">
        <f t="shared" si="5"/>
        <v>0</v>
      </c>
      <c r="N14" s="272" t="str">
        <f t="shared" si="1"/>
        <v>ok</v>
      </c>
      <c r="O14" s="281"/>
      <c r="P14" s="276" t="e">
        <f t="shared" si="3"/>
        <v>#DIV/0!</v>
      </c>
      <c r="Q14" t="e">
        <f t="shared" si="4"/>
        <v>#DIV/0!</v>
      </c>
    </row>
    <row r="15" spans="1:18" ht="15.75" hidden="1" thickBot="1" x14ac:dyDescent="0.3">
      <c r="A15" s="662"/>
      <c r="B15" s="269" t="s">
        <v>166</v>
      </c>
      <c r="C15" s="277"/>
      <c r="D15" s="278"/>
      <c r="E15" s="278">
        <f t="shared" si="2"/>
        <v>0</v>
      </c>
      <c r="F15" s="278" t="str">
        <f t="shared" si="0"/>
        <v>ok</v>
      </c>
      <c r="G15" s="278"/>
      <c r="H15" s="279"/>
      <c r="I15" s="279"/>
      <c r="J15" s="279"/>
      <c r="K15" s="279"/>
      <c r="L15" s="278"/>
      <c r="M15" s="272">
        <f t="shared" si="5"/>
        <v>0</v>
      </c>
      <c r="N15" s="272" t="str">
        <f t="shared" si="1"/>
        <v>ok</v>
      </c>
      <c r="O15" s="281"/>
      <c r="P15" s="276" t="e">
        <f t="shared" si="3"/>
        <v>#DIV/0!</v>
      </c>
      <c r="Q15" t="e">
        <f t="shared" si="4"/>
        <v>#DIV/0!</v>
      </c>
    </row>
    <row r="16" spans="1:18" ht="15.75" hidden="1" thickBot="1" x14ac:dyDescent="0.3">
      <c r="A16" s="662"/>
      <c r="B16" s="269" t="s">
        <v>167</v>
      </c>
      <c r="C16" s="277"/>
      <c r="D16" s="278"/>
      <c r="E16" s="278">
        <f t="shared" si="2"/>
        <v>0</v>
      </c>
      <c r="F16" s="278" t="str">
        <f t="shared" si="0"/>
        <v>ok</v>
      </c>
      <c r="G16" s="278"/>
      <c r="H16" s="279"/>
      <c r="I16" s="279"/>
      <c r="J16" s="279"/>
      <c r="K16" s="279"/>
      <c r="L16" s="278"/>
      <c r="M16" s="272">
        <f t="shared" si="5"/>
        <v>0</v>
      </c>
      <c r="N16" s="272" t="str">
        <f t="shared" si="1"/>
        <v>ok</v>
      </c>
      <c r="O16" s="281"/>
      <c r="P16" s="276" t="e">
        <f t="shared" si="3"/>
        <v>#DIV/0!</v>
      </c>
      <c r="Q16" t="e">
        <f t="shared" si="4"/>
        <v>#DIV/0!</v>
      </c>
    </row>
    <row r="17" spans="1:18" ht="15.75" hidden="1" thickBot="1" x14ac:dyDescent="0.3">
      <c r="A17" s="662"/>
      <c r="B17" s="269" t="s">
        <v>168</v>
      </c>
      <c r="C17" s="277"/>
      <c r="D17" s="278"/>
      <c r="E17" s="278">
        <f t="shared" si="2"/>
        <v>0</v>
      </c>
      <c r="F17" s="278" t="str">
        <f t="shared" si="0"/>
        <v>ok</v>
      </c>
      <c r="G17" s="278"/>
      <c r="H17" s="279"/>
      <c r="I17" s="279"/>
      <c r="J17" s="279"/>
      <c r="K17" s="279"/>
      <c r="L17" s="278"/>
      <c r="M17" s="283">
        <f t="shared" si="5"/>
        <v>0</v>
      </c>
      <c r="N17" s="283" t="str">
        <f t="shared" si="1"/>
        <v>ok</v>
      </c>
      <c r="O17" s="281"/>
      <c r="P17" s="276" t="e">
        <f t="shared" si="3"/>
        <v>#DIV/0!</v>
      </c>
      <c r="Q17" t="e">
        <f t="shared" si="4"/>
        <v>#DIV/0!</v>
      </c>
    </row>
    <row r="18" spans="1:18" ht="15.75" hidden="1" thickBot="1" x14ac:dyDescent="0.3">
      <c r="A18" s="663" t="s">
        <v>169</v>
      </c>
      <c r="B18" s="284" t="s">
        <v>153</v>
      </c>
      <c r="C18" s="285"/>
      <c r="D18" s="286"/>
      <c r="E18" s="286">
        <f t="shared" si="2"/>
        <v>0</v>
      </c>
      <c r="F18" s="286" t="str">
        <f t="shared" si="0"/>
        <v>ok</v>
      </c>
      <c r="G18" s="286"/>
      <c r="H18" s="287"/>
      <c r="I18" s="287"/>
      <c r="J18" s="287"/>
      <c r="K18" s="287"/>
      <c r="L18" s="286"/>
      <c r="M18" s="288">
        <f t="shared" si="5"/>
        <v>0</v>
      </c>
      <c r="N18" s="288" t="str">
        <f t="shared" si="1"/>
        <v>ok</v>
      </c>
      <c r="O18" s="289"/>
      <c r="P18" s="276" t="e">
        <f t="shared" si="3"/>
        <v>#DIV/0!</v>
      </c>
      <c r="Q18" t="e">
        <f t="shared" si="4"/>
        <v>#DIV/0!</v>
      </c>
    </row>
    <row r="19" spans="1:18" ht="15.75" hidden="1" thickBot="1" x14ac:dyDescent="0.3">
      <c r="A19" s="664"/>
      <c r="B19" s="290" t="s">
        <v>154</v>
      </c>
      <c r="C19" s="288"/>
      <c r="D19" s="291"/>
      <c r="E19" s="291">
        <f t="shared" si="2"/>
        <v>0</v>
      </c>
      <c r="F19" s="291" t="str">
        <f t="shared" si="0"/>
        <v>ok</v>
      </c>
      <c r="G19" s="291"/>
      <c r="H19" s="292"/>
      <c r="I19" s="292"/>
      <c r="J19" s="292"/>
      <c r="K19" s="292"/>
      <c r="L19" s="291"/>
      <c r="M19" s="288">
        <f t="shared" si="5"/>
        <v>0</v>
      </c>
      <c r="N19" s="288" t="str">
        <f t="shared" si="1"/>
        <v>ok</v>
      </c>
      <c r="O19" s="293"/>
      <c r="P19" s="276" t="e">
        <f t="shared" si="3"/>
        <v>#DIV/0!</v>
      </c>
      <c r="Q19" t="e">
        <f t="shared" si="4"/>
        <v>#DIV/0!</v>
      </c>
    </row>
    <row r="20" spans="1:18" ht="15.75" hidden="1" thickBot="1" x14ac:dyDescent="0.3">
      <c r="A20" s="664"/>
      <c r="B20" s="290" t="s">
        <v>155</v>
      </c>
      <c r="C20" s="288"/>
      <c r="D20" s="291"/>
      <c r="E20" s="291">
        <f t="shared" si="2"/>
        <v>0</v>
      </c>
      <c r="F20" s="291" t="str">
        <f t="shared" si="0"/>
        <v>ok</v>
      </c>
      <c r="G20" s="291"/>
      <c r="H20" s="292"/>
      <c r="I20" s="292"/>
      <c r="J20" s="292"/>
      <c r="K20" s="292"/>
      <c r="L20" s="291"/>
      <c r="M20" s="288">
        <f t="shared" si="5"/>
        <v>0</v>
      </c>
      <c r="N20" s="288" t="str">
        <f t="shared" si="1"/>
        <v>ok</v>
      </c>
      <c r="O20" s="293"/>
      <c r="P20" s="276" t="e">
        <f t="shared" si="3"/>
        <v>#DIV/0!</v>
      </c>
      <c r="Q20" t="e">
        <f t="shared" si="4"/>
        <v>#DIV/0!</v>
      </c>
    </row>
    <row r="21" spans="1:18" ht="15.75" hidden="1" thickBot="1" x14ac:dyDescent="0.3">
      <c r="A21" s="664"/>
      <c r="B21" s="290" t="s">
        <v>156</v>
      </c>
      <c r="C21" s="288"/>
      <c r="D21" s="291"/>
      <c r="E21" s="291">
        <f t="shared" si="2"/>
        <v>0</v>
      </c>
      <c r="F21" s="291" t="str">
        <f t="shared" si="0"/>
        <v>ok</v>
      </c>
      <c r="G21" s="291"/>
      <c r="H21" s="292"/>
      <c r="I21" s="292"/>
      <c r="J21" s="292"/>
      <c r="K21" s="292"/>
      <c r="L21" s="291"/>
      <c r="M21" s="288">
        <f t="shared" si="5"/>
        <v>0</v>
      </c>
      <c r="N21" s="288" t="str">
        <f t="shared" si="1"/>
        <v>ok</v>
      </c>
      <c r="O21" s="293"/>
      <c r="P21" s="276" t="e">
        <f t="shared" si="3"/>
        <v>#DIV/0!</v>
      </c>
      <c r="Q21" t="e">
        <f t="shared" si="4"/>
        <v>#DIV/0!</v>
      </c>
      <c r="R21" s="282"/>
    </row>
    <row r="22" spans="1:18" ht="15.75" hidden="1" thickBot="1" x14ac:dyDescent="0.3">
      <c r="A22" s="664"/>
      <c r="B22" s="290" t="s">
        <v>157</v>
      </c>
      <c r="C22" s="288"/>
      <c r="D22" s="291"/>
      <c r="E22" s="291">
        <f t="shared" si="2"/>
        <v>0</v>
      </c>
      <c r="F22" s="291" t="str">
        <f t="shared" si="0"/>
        <v>ok</v>
      </c>
      <c r="G22" s="291"/>
      <c r="H22" s="292"/>
      <c r="I22" s="292"/>
      <c r="J22" s="292"/>
      <c r="K22" s="292"/>
      <c r="L22" s="291"/>
      <c r="M22" s="288">
        <f t="shared" si="5"/>
        <v>0</v>
      </c>
      <c r="N22" s="288" t="str">
        <f t="shared" si="1"/>
        <v>ok</v>
      </c>
      <c r="O22" s="293"/>
      <c r="P22" s="276" t="e">
        <f t="shared" si="3"/>
        <v>#DIV/0!</v>
      </c>
      <c r="Q22" t="e">
        <f t="shared" si="4"/>
        <v>#DIV/0!</v>
      </c>
    </row>
    <row r="23" spans="1:18" ht="15.75" hidden="1" thickBot="1" x14ac:dyDescent="0.3">
      <c r="A23" s="664"/>
      <c r="B23" s="290" t="s">
        <v>158</v>
      </c>
      <c r="C23" s="288"/>
      <c r="D23" s="291"/>
      <c r="E23" s="291">
        <f t="shared" si="2"/>
        <v>0</v>
      </c>
      <c r="F23" s="291" t="str">
        <f t="shared" si="0"/>
        <v>ok</v>
      </c>
      <c r="G23" s="291"/>
      <c r="H23" s="292"/>
      <c r="I23" s="292"/>
      <c r="J23" s="292"/>
      <c r="K23" s="292"/>
      <c r="L23" s="291"/>
      <c r="M23" s="288">
        <f t="shared" si="5"/>
        <v>0</v>
      </c>
      <c r="N23" s="288" t="str">
        <f t="shared" si="1"/>
        <v>ok</v>
      </c>
      <c r="O23" s="293"/>
      <c r="P23" s="276" t="e">
        <f t="shared" si="3"/>
        <v>#DIV/0!</v>
      </c>
      <c r="Q23" t="e">
        <f t="shared" si="4"/>
        <v>#DIV/0!</v>
      </c>
    </row>
    <row r="24" spans="1:18" ht="15.75" hidden="1" thickBot="1" x14ac:dyDescent="0.3">
      <c r="A24" s="664"/>
      <c r="B24" s="290" t="s">
        <v>159</v>
      </c>
      <c r="C24" s="288"/>
      <c r="D24" s="291"/>
      <c r="E24" s="291">
        <f t="shared" si="2"/>
        <v>0</v>
      </c>
      <c r="F24" s="291" t="str">
        <f t="shared" si="0"/>
        <v>ok</v>
      </c>
      <c r="G24" s="291"/>
      <c r="H24" s="292"/>
      <c r="I24" s="292"/>
      <c r="J24" s="292"/>
      <c r="K24" s="292"/>
      <c r="L24" s="291"/>
      <c r="M24" s="288">
        <f t="shared" si="5"/>
        <v>0</v>
      </c>
      <c r="N24" s="288" t="str">
        <f t="shared" si="1"/>
        <v>ok</v>
      </c>
      <c r="O24" s="293"/>
      <c r="P24" s="276" t="e">
        <f t="shared" si="3"/>
        <v>#DIV/0!</v>
      </c>
      <c r="Q24" t="e">
        <f t="shared" si="4"/>
        <v>#DIV/0!</v>
      </c>
    </row>
    <row r="25" spans="1:18" ht="15.75" hidden="1" thickBot="1" x14ac:dyDescent="0.3">
      <c r="A25" s="664"/>
      <c r="B25" s="290" t="s">
        <v>160</v>
      </c>
      <c r="C25" s="288"/>
      <c r="D25" s="291"/>
      <c r="E25" s="291">
        <f t="shared" si="2"/>
        <v>0</v>
      </c>
      <c r="F25" s="291" t="str">
        <f t="shared" si="0"/>
        <v>ok</v>
      </c>
      <c r="G25" s="291"/>
      <c r="H25" s="292"/>
      <c r="I25" s="292"/>
      <c r="J25" s="292"/>
      <c r="K25" s="292"/>
      <c r="L25" s="291"/>
      <c r="M25" s="288">
        <f t="shared" si="5"/>
        <v>0</v>
      </c>
      <c r="N25" s="288" t="str">
        <f t="shared" si="1"/>
        <v>ok</v>
      </c>
      <c r="O25" s="293"/>
      <c r="P25" s="276" t="e">
        <f t="shared" si="3"/>
        <v>#DIV/0!</v>
      </c>
      <c r="Q25" t="e">
        <f t="shared" si="4"/>
        <v>#DIV/0!</v>
      </c>
    </row>
    <row r="26" spans="1:18" ht="15.75" hidden="1" thickBot="1" x14ac:dyDescent="0.3">
      <c r="A26" s="664"/>
      <c r="B26" s="290" t="s">
        <v>161</v>
      </c>
      <c r="C26" s="288"/>
      <c r="D26" s="291"/>
      <c r="E26" s="291">
        <f t="shared" si="2"/>
        <v>0</v>
      </c>
      <c r="F26" s="291" t="str">
        <f t="shared" si="0"/>
        <v>ok</v>
      </c>
      <c r="G26" s="291"/>
      <c r="H26" s="292"/>
      <c r="I26" s="292"/>
      <c r="J26" s="292"/>
      <c r="K26" s="292"/>
      <c r="L26" s="291"/>
      <c r="M26" s="288">
        <f t="shared" si="5"/>
        <v>0</v>
      </c>
      <c r="N26" s="288" t="str">
        <f t="shared" si="1"/>
        <v>ok</v>
      </c>
      <c r="O26" s="293"/>
      <c r="P26" s="276" t="e">
        <f t="shared" si="3"/>
        <v>#DIV/0!</v>
      </c>
      <c r="Q26" t="e">
        <f t="shared" si="4"/>
        <v>#DIV/0!</v>
      </c>
    </row>
    <row r="27" spans="1:18" ht="15.75" hidden="1" thickBot="1" x14ac:dyDescent="0.3">
      <c r="A27" s="664"/>
      <c r="B27" s="290" t="s">
        <v>162</v>
      </c>
      <c r="C27" s="288"/>
      <c r="D27" s="291"/>
      <c r="E27" s="291">
        <f t="shared" si="2"/>
        <v>0</v>
      </c>
      <c r="F27" s="291" t="str">
        <f t="shared" si="0"/>
        <v>ok</v>
      </c>
      <c r="G27" s="291"/>
      <c r="H27" s="292"/>
      <c r="I27" s="292"/>
      <c r="J27" s="292"/>
      <c r="K27" s="292"/>
      <c r="L27" s="291"/>
      <c r="M27" s="288">
        <f t="shared" si="5"/>
        <v>0</v>
      </c>
      <c r="N27" s="288" t="str">
        <f t="shared" si="1"/>
        <v>ok</v>
      </c>
      <c r="O27" s="293"/>
      <c r="P27" s="276" t="e">
        <f t="shared" si="3"/>
        <v>#DIV/0!</v>
      </c>
      <c r="Q27" t="e">
        <f t="shared" si="4"/>
        <v>#DIV/0!</v>
      </c>
    </row>
    <row r="28" spans="1:18" ht="15.75" hidden="1" thickBot="1" x14ac:dyDescent="0.3">
      <c r="A28" s="664"/>
      <c r="B28" s="290" t="s">
        <v>163</v>
      </c>
      <c r="C28" s="288"/>
      <c r="D28" s="291"/>
      <c r="E28" s="291">
        <f t="shared" si="2"/>
        <v>0</v>
      </c>
      <c r="F28" s="291" t="str">
        <f t="shared" si="0"/>
        <v>ok</v>
      </c>
      <c r="G28" s="291"/>
      <c r="H28" s="292"/>
      <c r="I28" s="292"/>
      <c r="J28" s="292"/>
      <c r="K28" s="292"/>
      <c r="L28" s="291"/>
      <c r="M28" s="288">
        <f t="shared" si="5"/>
        <v>0</v>
      </c>
      <c r="N28" s="288" t="str">
        <f t="shared" si="1"/>
        <v>ok</v>
      </c>
      <c r="O28" s="293"/>
      <c r="P28" s="276"/>
      <c r="Q28" t="str">
        <f t="shared" si="4"/>
        <v>ok</v>
      </c>
    </row>
    <row r="29" spans="1:18" ht="15.75" hidden="1" thickBot="1" x14ac:dyDescent="0.3">
      <c r="A29" s="664"/>
      <c r="B29" s="290" t="s">
        <v>164</v>
      </c>
      <c r="C29" s="288"/>
      <c r="D29" s="291"/>
      <c r="E29" s="291">
        <f t="shared" si="2"/>
        <v>0</v>
      </c>
      <c r="F29" s="291" t="str">
        <f t="shared" si="0"/>
        <v>ok</v>
      </c>
      <c r="G29" s="291"/>
      <c r="H29" s="292"/>
      <c r="I29" s="292"/>
      <c r="J29" s="292"/>
      <c r="K29" s="292"/>
      <c r="L29" s="291"/>
      <c r="M29" s="288">
        <f t="shared" si="5"/>
        <v>0</v>
      </c>
      <c r="N29" s="288" t="str">
        <f t="shared" si="1"/>
        <v>ok</v>
      </c>
      <c r="O29" s="293"/>
      <c r="P29" s="276"/>
      <c r="Q29" t="str">
        <f t="shared" si="4"/>
        <v>ok</v>
      </c>
    </row>
    <row r="30" spans="1:18" ht="15.75" hidden="1" thickBot="1" x14ac:dyDescent="0.3">
      <c r="A30" s="664"/>
      <c r="B30" s="290" t="s">
        <v>165</v>
      </c>
      <c r="C30" s="288"/>
      <c r="D30" s="291"/>
      <c r="E30" s="291">
        <f t="shared" si="2"/>
        <v>0</v>
      </c>
      <c r="F30" s="291" t="str">
        <f t="shared" si="0"/>
        <v>ok</v>
      </c>
      <c r="G30" s="291"/>
      <c r="H30" s="292"/>
      <c r="I30" s="292"/>
      <c r="J30" s="292"/>
      <c r="K30" s="292"/>
      <c r="L30" s="291"/>
      <c r="M30" s="288">
        <f t="shared" si="5"/>
        <v>0</v>
      </c>
      <c r="N30" s="288" t="str">
        <f t="shared" si="1"/>
        <v>ok</v>
      </c>
      <c r="O30" s="293"/>
      <c r="P30" s="276" t="e">
        <f t="shared" ref="P30:P67" si="6">(C30-L30)/C30</f>
        <v>#DIV/0!</v>
      </c>
      <c r="Q30" t="e">
        <f t="shared" si="4"/>
        <v>#DIV/0!</v>
      </c>
    </row>
    <row r="31" spans="1:18" ht="15.75" hidden="1" thickBot="1" x14ac:dyDescent="0.3">
      <c r="A31" s="664"/>
      <c r="B31" s="290" t="s">
        <v>166</v>
      </c>
      <c r="C31" s="288"/>
      <c r="D31" s="291"/>
      <c r="E31" s="291">
        <f t="shared" si="2"/>
        <v>0</v>
      </c>
      <c r="F31" s="291" t="str">
        <f t="shared" si="0"/>
        <v>ok</v>
      </c>
      <c r="G31" s="291"/>
      <c r="H31" s="292"/>
      <c r="I31" s="292"/>
      <c r="J31" s="292"/>
      <c r="K31" s="292"/>
      <c r="L31" s="291"/>
      <c r="M31" s="288">
        <f t="shared" si="5"/>
        <v>0</v>
      </c>
      <c r="N31" s="288" t="str">
        <f t="shared" si="1"/>
        <v>ok</v>
      </c>
      <c r="O31" s="293"/>
      <c r="P31" s="276" t="e">
        <f t="shared" si="6"/>
        <v>#DIV/0!</v>
      </c>
      <c r="Q31" t="e">
        <f t="shared" si="4"/>
        <v>#DIV/0!</v>
      </c>
    </row>
    <row r="32" spans="1:18" ht="15.75" hidden="1" thickBot="1" x14ac:dyDescent="0.3">
      <c r="A32" s="664"/>
      <c r="B32" s="290" t="s">
        <v>170</v>
      </c>
      <c r="C32" s="288"/>
      <c r="D32" s="291"/>
      <c r="E32" s="291">
        <f t="shared" si="2"/>
        <v>0</v>
      </c>
      <c r="F32" s="291" t="str">
        <f t="shared" si="0"/>
        <v>ok</v>
      </c>
      <c r="G32" s="291"/>
      <c r="H32" s="292"/>
      <c r="I32" s="292"/>
      <c r="J32" s="292"/>
      <c r="K32" s="292"/>
      <c r="L32" s="291"/>
      <c r="M32" s="288">
        <f t="shared" si="5"/>
        <v>0</v>
      </c>
      <c r="N32" s="288" t="str">
        <f t="shared" si="1"/>
        <v>ok</v>
      </c>
      <c r="O32" s="293"/>
      <c r="P32" s="276" t="e">
        <f t="shared" si="6"/>
        <v>#DIV/0!</v>
      </c>
      <c r="Q32" t="e">
        <f t="shared" si="4"/>
        <v>#DIV/0!</v>
      </c>
    </row>
    <row r="33" spans="1:18" ht="15.75" hidden="1" thickBot="1" x14ac:dyDescent="0.3">
      <c r="A33" s="664"/>
      <c r="B33" s="290" t="s">
        <v>171</v>
      </c>
      <c r="C33" s="288"/>
      <c r="D33" s="291"/>
      <c r="E33" s="291">
        <f t="shared" si="2"/>
        <v>0</v>
      </c>
      <c r="F33" s="291" t="str">
        <f t="shared" si="0"/>
        <v>ok</v>
      </c>
      <c r="G33" s="291"/>
      <c r="H33" s="292"/>
      <c r="I33" s="292"/>
      <c r="J33" s="292"/>
      <c r="K33" s="292"/>
      <c r="L33" s="291"/>
      <c r="M33" s="288">
        <f t="shared" si="5"/>
        <v>0</v>
      </c>
      <c r="N33" s="288" t="str">
        <f t="shared" si="1"/>
        <v>ok</v>
      </c>
      <c r="O33" s="293"/>
      <c r="P33" s="276" t="e">
        <f t="shared" si="6"/>
        <v>#DIV/0!</v>
      </c>
      <c r="Q33" t="e">
        <f t="shared" si="4"/>
        <v>#DIV/0!</v>
      </c>
    </row>
    <row r="34" spans="1:18" ht="15.75" hidden="1" thickBot="1" x14ac:dyDescent="0.3">
      <c r="A34" s="664"/>
      <c r="B34" s="290" t="s">
        <v>172</v>
      </c>
      <c r="C34" s="288"/>
      <c r="D34" s="291"/>
      <c r="E34" s="291">
        <f t="shared" si="2"/>
        <v>0</v>
      </c>
      <c r="F34" s="291" t="str">
        <f t="shared" si="0"/>
        <v>ok</v>
      </c>
      <c r="G34" s="291"/>
      <c r="H34" s="292"/>
      <c r="I34" s="292"/>
      <c r="J34" s="292"/>
      <c r="K34" s="292"/>
      <c r="L34" s="291"/>
      <c r="M34" s="294">
        <f t="shared" si="5"/>
        <v>0</v>
      </c>
      <c r="N34" s="294" t="str">
        <f t="shared" si="1"/>
        <v>ok</v>
      </c>
      <c r="O34" s="293"/>
      <c r="P34" s="276" t="e">
        <f t="shared" si="6"/>
        <v>#DIV/0!</v>
      </c>
      <c r="Q34" t="e">
        <f t="shared" si="4"/>
        <v>#DIV/0!</v>
      </c>
    </row>
    <row r="35" spans="1:18" ht="15.75" hidden="1" thickBot="1" x14ac:dyDescent="0.3">
      <c r="A35" s="665"/>
      <c r="B35" s="295" t="s">
        <v>173</v>
      </c>
      <c r="C35" s="296"/>
      <c r="D35" s="297"/>
      <c r="E35" s="297">
        <f t="shared" si="2"/>
        <v>0</v>
      </c>
      <c r="F35" s="297" t="str">
        <f t="shared" si="0"/>
        <v>ok</v>
      </c>
      <c r="G35" s="297"/>
      <c r="H35" s="298"/>
      <c r="I35" s="298"/>
      <c r="J35" s="298"/>
      <c r="K35" s="298"/>
      <c r="L35" s="297"/>
      <c r="M35" s="294">
        <f t="shared" si="5"/>
        <v>0</v>
      </c>
      <c r="N35" s="294" t="str">
        <f t="shared" si="1"/>
        <v>ok</v>
      </c>
      <c r="O35" s="299"/>
      <c r="P35" s="276" t="e">
        <f t="shared" si="6"/>
        <v>#DIV/0!</v>
      </c>
      <c r="Q35" t="e">
        <f t="shared" si="4"/>
        <v>#DIV/0!</v>
      </c>
    </row>
    <row r="36" spans="1:18" ht="15" customHeight="1" x14ac:dyDescent="0.25">
      <c r="A36" s="666" t="s">
        <v>174</v>
      </c>
      <c r="B36" s="300" t="s">
        <v>153</v>
      </c>
      <c r="C36" s="301">
        <v>126.6</v>
      </c>
      <c r="D36" s="302">
        <v>125.145</v>
      </c>
      <c r="E36" s="302">
        <f t="shared" si="2"/>
        <v>126.6</v>
      </c>
      <c r="F36" s="302" t="str">
        <f t="shared" si="0"/>
        <v>ok</v>
      </c>
      <c r="G36" s="302">
        <v>82.54</v>
      </c>
      <c r="H36" s="303"/>
      <c r="I36" s="303">
        <f>0.075-0.015</f>
        <v>0.06</v>
      </c>
      <c r="J36" s="303">
        <v>3.5000000000000003E-2</v>
      </c>
      <c r="K36" s="303">
        <v>1.36</v>
      </c>
      <c r="L36" s="302">
        <f>82.54+1.395</f>
        <v>83.935000000000002</v>
      </c>
      <c r="M36" s="294">
        <f t="shared" si="5"/>
        <v>83.935000000000002</v>
      </c>
      <c r="N36" s="294" t="str">
        <f t="shared" si="1"/>
        <v>ok</v>
      </c>
      <c r="O36" s="304">
        <v>0.33700999999999998</v>
      </c>
      <c r="P36" s="305">
        <f t="shared" si="6"/>
        <v>0.3370063191153238</v>
      </c>
      <c r="Q36" t="str">
        <f>IF(O36=P36,"ok","pas bon")</f>
        <v>pas bon</v>
      </c>
      <c r="R36" s="306"/>
    </row>
    <row r="37" spans="1:18" x14ac:dyDescent="0.25">
      <c r="A37" s="667"/>
      <c r="B37" s="307" t="s">
        <v>154</v>
      </c>
      <c r="C37" s="294">
        <v>128.19999999999999</v>
      </c>
      <c r="D37" s="308">
        <v>127.964</v>
      </c>
      <c r="E37" s="308">
        <f t="shared" si="2"/>
        <v>128.19999999999999</v>
      </c>
      <c r="F37" s="308" t="str">
        <f t="shared" si="0"/>
        <v>ok</v>
      </c>
      <c r="G37" s="308">
        <v>80.42</v>
      </c>
      <c r="H37" s="309"/>
      <c r="I37" s="309"/>
      <c r="J37" s="309">
        <v>0.23599999999999999</v>
      </c>
      <c r="K37" s="309"/>
      <c r="L37" s="308">
        <f>80.42+0.236</f>
        <v>80.656000000000006</v>
      </c>
      <c r="M37" s="294">
        <f t="shared" si="5"/>
        <v>80.656000000000006</v>
      </c>
      <c r="N37" s="294" t="str">
        <f t="shared" si="1"/>
        <v>ok</v>
      </c>
      <c r="O37" s="310">
        <v>0.371</v>
      </c>
      <c r="P37" s="276">
        <f t="shared" si="6"/>
        <v>0.37085803432137276</v>
      </c>
      <c r="Q37" t="str">
        <f t="shared" si="4"/>
        <v>pas bon</v>
      </c>
      <c r="R37" s="306"/>
    </row>
    <row r="38" spans="1:18" x14ac:dyDescent="0.25">
      <c r="A38" s="667"/>
      <c r="B38" s="307" t="s">
        <v>155</v>
      </c>
      <c r="C38" s="294">
        <v>126.8</v>
      </c>
      <c r="D38" s="308">
        <v>126.8</v>
      </c>
      <c r="E38" s="308">
        <f t="shared" si="2"/>
        <v>126.8</v>
      </c>
      <c r="F38" s="308" t="str">
        <f t="shared" si="0"/>
        <v>ok</v>
      </c>
      <c r="G38" s="308">
        <v>80.22</v>
      </c>
      <c r="H38" s="309"/>
      <c r="I38" s="309"/>
      <c r="J38" s="309"/>
      <c r="K38" s="309"/>
      <c r="L38" s="308">
        <v>80.22</v>
      </c>
      <c r="M38" s="294">
        <f t="shared" si="5"/>
        <v>80.22</v>
      </c>
      <c r="N38" s="294" t="str">
        <f t="shared" si="1"/>
        <v>ok</v>
      </c>
      <c r="O38" s="310">
        <v>0.36699999999999999</v>
      </c>
      <c r="P38" s="276">
        <f t="shared" si="6"/>
        <v>0.36735015772870661</v>
      </c>
      <c r="Q38" t="str">
        <f t="shared" si="4"/>
        <v>pas bon</v>
      </c>
      <c r="R38" s="306"/>
    </row>
    <row r="39" spans="1:18" x14ac:dyDescent="0.25">
      <c r="A39" s="667"/>
      <c r="B39" s="307" t="s">
        <v>156</v>
      </c>
      <c r="C39" s="294">
        <v>126.4</v>
      </c>
      <c r="D39" s="308">
        <v>126.4</v>
      </c>
      <c r="E39" s="308">
        <f t="shared" si="2"/>
        <v>126.4</v>
      </c>
      <c r="F39" s="308" t="str">
        <f t="shared" si="0"/>
        <v>ok</v>
      </c>
      <c r="G39" s="308">
        <v>76.92</v>
      </c>
      <c r="H39" s="309"/>
      <c r="I39" s="309"/>
      <c r="J39" s="309"/>
      <c r="K39" s="309"/>
      <c r="L39" s="308">
        <v>76.92</v>
      </c>
      <c r="M39" s="294">
        <f t="shared" si="5"/>
        <v>76.92</v>
      </c>
      <c r="N39" s="294" t="str">
        <f t="shared" si="1"/>
        <v>ok</v>
      </c>
      <c r="O39" s="310">
        <v>0.39100000000000001</v>
      </c>
      <c r="P39" s="276">
        <f t="shared" si="6"/>
        <v>0.39145569620253168</v>
      </c>
      <c r="Q39" t="str">
        <f t="shared" si="4"/>
        <v>pas bon</v>
      </c>
      <c r="R39" s="306"/>
    </row>
    <row r="40" spans="1:18" x14ac:dyDescent="0.25">
      <c r="A40" s="667"/>
      <c r="B40" s="307" t="s">
        <v>157</v>
      </c>
      <c r="C40" s="294">
        <v>125.65</v>
      </c>
      <c r="D40" s="308">
        <v>125.36</v>
      </c>
      <c r="E40" s="308">
        <f t="shared" si="2"/>
        <v>125.64999999999999</v>
      </c>
      <c r="F40" s="308" t="str">
        <f t="shared" si="0"/>
        <v>ok</v>
      </c>
      <c r="G40" s="308">
        <v>81.239999999999995</v>
      </c>
      <c r="H40" s="309"/>
      <c r="I40" s="309">
        <f>0.323-0.106</f>
        <v>0.21700000000000003</v>
      </c>
      <c r="J40" s="309">
        <v>7.2999999999999995E-2</v>
      </c>
      <c r="K40" s="309"/>
      <c r="L40" s="308">
        <f>81.24+0.073</f>
        <v>81.312999999999988</v>
      </c>
      <c r="M40" s="294">
        <f t="shared" si="5"/>
        <v>81.312999999999988</v>
      </c>
      <c r="N40" s="294" t="str">
        <f t="shared" si="1"/>
        <v>ok</v>
      </c>
      <c r="O40" s="310">
        <v>0.35299999999999998</v>
      </c>
      <c r="P40" s="276">
        <f t="shared" si="6"/>
        <v>0.35286112216474347</v>
      </c>
      <c r="Q40" t="str">
        <f t="shared" si="4"/>
        <v>pas bon</v>
      </c>
      <c r="R40" s="306"/>
    </row>
    <row r="41" spans="1:18" x14ac:dyDescent="0.25">
      <c r="A41" s="667"/>
      <c r="B41" s="307" t="s">
        <v>158</v>
      </c>
      <c r="C41" s="294">
        <v>127.36</v>
      </c>
      <c r="D41" s="308">
        <v>124.887</v>
      </c>
      <c r="E41" s="308">
        <f t="shared" si="2"/>
        <v>127.36000000000001</v>
      </c>
      <c r="F41" s="308" t="str">
        <f t="shared" si="0"/>
        <v>ok</v>
      </c>
      <c r="G41" s="308">
        <v>78.44</v>
      </c>
      <c r="H41" s="309">
        <v>0.95899999999999996</v>
      </c>
      <c r="I41" s="309">
        <f>0.568-0.034</f>
        <v>0.53399999999999992</v>
      </c>
      <c r="J41" s="309"/>
      <c r="K41" s="309">
        <v>0.98</v>
      </c>
      <c r="L41" s="308">
        <f>78.44+0.959+0.98</f>
        <v>80.379000000000005</v>
      </c>
      <c r="M41" s="294">
        <f t="shared" si="5"/>
        <v>80.379000000000005</v>
      </c>
      <c r="N41" s="294" t="str">
        <f t="shared" si="1"/>
        <v>ok</v>
      </c>
      <c r="O41" s="310">
        <v>0.36899999999999999</v>
      </c>
      <c r="P41" s="276">
        <f t="shared" si="6"/>
        <v>0.36888347989949744</v>
      </c>
      <c r="Q41" t="str">
        <f t="shared" si="4"/>
        <v>pas bon</v>
      </c>
      <c r="R41" s="306"/>
    </row>
    <row r="42" spans="1:18" x14ac:dyDescent="0.25">
      <c r="A42" s="667"/>
      <c r="B42" s="307" t="s">
        <v>159</v>
      </c>
      <c r="C42" s="294">
        <v>126.08</v>
      </c>
      <c r="D42" s="308">
        <v>126.08</v>
      </c>
      <c r="E42" s="308">
        <f t="shared" si="2"/>
        <v>126.08</v>
      </c>
      <c r="F42" s="308" t="str">
        <f t="shared" si="0"/>
        <v>ok</v>
      </c>
      <c r="G42" s="308">
        <v>76.44</v>
      </c>
      <c r="H42" s="309"/>
      <c r="I42" s="309"/>
      <c r="J42" s="309"/>
      <c r="K42" s="309"/>
      <c r="L42" s="308">
        <v>76.44</v>
      </c>
      <c r="M42" s="294">
        <f t="shared" si="5"/>
        <v>76.44</v>
      </c>
      <c r="N42" s="294" t="str">
        <f t="shared" si="1"/>
        <v>ok</v>
      </c>
      <c r="O42" s="310">
        <v>0.39400000000000002</v>
      </c>
      <c r="P42" s="276">
        <f t="shared" si="6"/>
        <v>0.39371827411167515</v>
      </c>
      <c r="Q42" t="str">
        <f t="shared" si="4"/>
        <v>pas bon</v>
      </c>
      <c r="R42" s="306"/>
    </row>
    <row r="43" spans="1:18" x14ac:dyDescent="0.25">
      <c r="A43" s="667"/>
      <c r="B43" s="307" t="s">
        <v>160</v>
      </c>
      <c r="C43" s="294">
        <v>129.02000000000001</v>
      </c>
      <c r="D43" s="308">
        <v>128.78299999999999</v>
      </c>
      <c r="E43" s="308">
        <f t="shared" si="2"/>
        <v>129.01999999999998</v>
      </c>
      <c r="F43" s="308" t="str">
        <f t="shared" si="0"/>
        <v>ok</v>
      </c>
      <c r="G43" s="308">
        <v>67.88</v>
      </c>
      <c r="H43" s="309"/>
      <c r="I43" s="309">
        <f>0.263-0.026</f>
        <v>0.23700000000000002</v>
      </c>
      <c r="J43" s="309"/>
      <c r="K43" s="309"/>
      <c r="L43" s="308">
        <v>67.88</v>
      </c>
      <c r="M43" s="294">
        <f>G43+H43+J43+K43</f>
        <v>67.88</v>
      </c>
      <c r="N43" s="294" t="str">
        <f t="shared" si="1"/>
        <v>ok</v>
      </c>
      <c r="O43" s="310">
        <v>0.47399999999999998</v>
      </c>
      <c r="P43" s="276">
        <f>(C43-L43)/C43</f>
        <v>0.47388001860176726</v>
      </c>
      <c r="Q43" t="str">
        <f t="shared" si="4"/>
        <v>pas bon</v>
      </c>
      <c r="R43" s="306"/>
    </row>
    <row r="44" spans="1:18" x14ac:dyDescent="0.25">
      <c r="A44" s="667"/>
      <c r="B44" s="307" t="s">
        <v>161</v>
      </c>
      <c r="C44" s="294">
        <v>128.6</v>
      </c>
      <c r="D44" s="308">
        <v>128.6</v>
      </c>
      <c r="E44" s="308">
        <f t="shared" si="2"/>
        <v>128.6</v>
      </c>
      <c r="F44" s="308" t="str">
        <f t="shared" si="0"/>
        <v>ok</v>
      </c>
      <c r="G44" s="308">
        <v>69.599999999999994</v>
      </c>
      <c r="H44" s="309"/>
      <c r="I44" s="309"/>
      <c r="J44" s="309"/>
      <c r="K44" s="309"/>
      <c r="L44" s="308">
        <v>69.599999999999994</v>
      </c>
      <c r="M44" s="294">
        <f t="shared" si="5"/>
        <v>69.599999999999994</v>
      </c>
      <c r="N44" s="294" t="str">
        <f t="shared" si="1"/>
        <v>ok</v>
      </c>
      <c r="O44" s="310">
        <v>0.45900000000000002</v>
      </c>
      <c r="P44" s="276">
        <f t="shared" si="6"/>
        <v>0.45878693623639194</v>
      </c>
      <c r="Q44" t="str">
        <f t="shared" si="4"/>
        <v>pas bon</v>
      </c>
      <c r="R44" s="306"/>
    </row>
    <row r="45" spans="1:18" x14ac:dyDescent="0.25">
      <c r="A45" s="667"/>
      <c r="B45" s="307" t="s">
        <v>162</v>
      </c>
      <c r="C45" s="294">
        <v>130.1</v>
      </c>
      <c r="D45" s="308">
        <v>127.96</v>
      </c>
      <c r="E45" s="308">
        <f t="shared" si="2"/>
        <v>130.1</v>
      </c>
      <c r="F45" s="308" t="str">
        <f t="shared" si="0"/>
        <v>ok</v>
      </c>
      <c r="G45" s="308">
        <v>76.959999999999994</v>
      </c>
      <c r="H45" s="309"/>
      <c r="I45" s="309">
        <f>2.28-0.14</f>
        <v>2.1399999999999997</v>
      </c>
      <c r="J45" s="309"/>
      <c r="K45" s="309"/>
      <c r="L45" s="308">
        <v>76.959999999999994</v>
      </c>
      <c r="M45" s="294">
        <f t="shared" si="5"/>
        <v>76.959999999999994</v>
      </c>
      <c r="N45" s="294" t="str">
        <f t="shared" si="1"/>
        <v>ok</v>
      </c>
      <c r="O45" s="310">
        <v>0.40799999999999997</v>
      </c>
      <c r="P45" s="276">
        <f t="shared" si="6"/>
        <v>0.40845503458877791</v>
      </c>
      <c r="Q45" t="str">
        <f t="shared" si="4"/>
        <v>pas bon</v>
      </c>
      <c r="R45" s="306"/>
    </row>
    <row r="46" spans="1:18" x14ac:dyDescent="0.25">
      <c r="A46" s="667"/>
      <c r="B46" s="307" t="s">
        <v>163</v>
      </c>
      <c r="C46" s="294">
        <v>124.6</v>
      </c>
      <c r="D46" s="308">
        <v>122.44799999999999</v>
      </c>
      <c r="E46" s="308">
        <f t="shared" si="2"/>
        <v>124.59999999999998</v>
      </c>
      <c r="F46" s="308" t="str">
        <f t="shared" si="0"/>
        <v>ok</v>
      </c>
      <c r="G46" s="308">
        <v>81.16</v>
      </c>
      <c r="H46" s="309"/>
      <c r="I46" s="309">
        <f>0.461-0.048</f>
        <v>0.41300000000000003</v>
      </c>
      <c r="J46" s="309">
        <v>7.9000000000000001E-2</v>
      </c>
      <c r="K46" s="309">
        <v>1.66</v>
      </c>
      <c r="L46" s="308">
        <f>81.16+0.079+1.66</f>
        <v>82.898999999999987</v>
      </c>
      <c r="M46" s="294">
        <f t="shared" si="5"/>
        <v>82.898999999999987</v>
      </c>
      <c r="N46" s="294" t="str">
        <f t="shared" si="1"/>
        <v>ok</v>
      </c>
      <c r="O46" s="310">
        <v>0.33500000000000002</v>
      </c>
      <c r="P46" s="276">
        <f t="shared" si="6"/>
        <v>0.33467897271268066</v>
      </c>
      <c r="Q46" t="str">
        <f t="shared" si="4"/>
        <v>pas bon</v>
      </c>
      <c r="R46" s="306"/>
    </row>
    <row r="47" spans="1:18" x14ac:dyDescent="0.25">
      <c r="A47" s="667"/>
      <c r="B47" s="307" t="s">
        <v>164</v>
      </c>
      <c r="C47" s="294">
        <v>124.6</v>
      </c>
      <c r="D47" s="308">
        <v>121.502</v>
      </c>
      <c r="E47" s="308">
        <f t="shared" si="2"/>
        <v>124.6</v>
      </c>
      <c r="F47" s="308" t="str">
        <f t="shared" si="0"/>
        <v>ok</v>
      </c>
      <c r="G47" s="308">
        <v>75.900000000000006</v>
      </c>
      <c r="H47" s="309"/>
      <c r="I47" s="309">
        <f>2.865-0.227</f>
        <v>2.6380000000000003</v>
      </c>
      <c r="J47" s="309"/>
      <c r="K47" s="309">
        <v>0.46</v>
      </c>
      <c r="L47" s="308">
        <f>75.9+0.46</f>
        <v>76.36</v>
      </c>
      <c r="M47" s="294">
        <f t="shared" si="5"/>
        <v>76.36</v>
      </c>
      <c r="N47" s="294" t="str">
        <f t="shared" si="1"/>
        <v>ok</v>
      </c>
      <c r="O47" s="310">
        <v>0.38700000000000001</v>
      </c>
      <c r="P47" s="276">
        <f t="shared" si="6"/>
        <v>0.38715890850722307</v>
      </c>
      <c r="Q47" t="str">
        <f t="shared" si="4"/>
        <v>pas bon</v>
      </c>
      <c r="R47" s="306"/>
    </row>
    <row r="48" spans="1:18" x14ac:dyDescent="0.25">
      <c r="A48" s="667"/>
      <c r="B48" s="307" t="s">
        <v>165</v>
      </c>
      <c r="C48" s="294">
        <v>127</v>
      </c>
      <c r="D48" s="308">
        <v>127</v>
      </c>
      <c r="E48" s="308">
        <f t="shared" si="2"/>
        <v>127</v>
      </c>
      <c r="F48" s="308" t="str">
        <f t="shared" si="0"/>
        <v>ok</v>
      </c>
      <c r="G48" s="308">
        <v>78.16</v>
      </c>
      <c r="H48" s="309"/>
      <c r="I48" s="309"/>
      <c r="J48" s="309"/>
      <c r="K48" s="309"/>
      <c r="L48" s="308">
        <v>78.16</v>
      </c>
      <c r="M48" s="294">
        <f t="shared" si="5"/>
        <v>78.16</v>
      </c>
      <c r="N48" s="294" t="str">
        <f t="shared" si="1"/>
        <v>ok</v>
      </c>
      <c r="O48" s="310">
        <v>0.38500000000000001</v>
      </c>
      <c r="P48" s="276">
        <f t="shared" si="6"/>
        <v>0.38456692913385832</v>
      </c>
      <c r="Q48" t="str">
        <f t="shared" si="4"/>
        <v>pas bon</v>
      </c>
      <c r="R48" s="306"/>
    </row>
    <row r="49" spans="1:18" x14ac:dyDescent="0.25">
      <c r="A49" s="667"/>
      <c r="B49" s="307" t="s">
        <v>166</v>
      </c>
      <c r="C49" s="294">
        <v>126.7</v>
      </c>
      <c r="D49" s="308">
        <v>126.364</v>
      </c>
      <c r="E49" s="308">
        <f t="shared" si="2"/>
        <v>126.7</v>
      </c>
      <c r="F49" s="308" t="str">
        <f t="shared" si="0"/>
        <v>ok</v>
      </c>
      <c r="G49" s="308">
        <v>91.06</v>
      </c>
      <c r="H49" s="309"/>
      <c r="I49" s="309">
        <f>0.412-0.076</f>
        <v>0.33599999999999997</v>
      </c>
      <c r="J49" s="309"/>
      <c r="K49" s="309"/>
      <c r="L49" s="308">
        <v>91.06</v>
      </c>
      <c r="M49" s="294">
        <f t="shared" si="5"/>
        <v>91.06</v>
      </c>
      <c r="N49" s="294" t="str">
        <f t="shared" si="1"/>
        <v>ok</v>
      </c>
      <c r="O49" s="310">
        <v>0.28100000000000003</v>
      </c>
      <c r="P49" s="276">
        <f t="shared" si="6"/>
        <v>0.2812943962115233</v>
      </c>
      <c r="Q49" t="str">
        <f t="shared" si="4"/>
        <v>pas bon</v>
      </c>
      <c r="R49" s="306"/>
    </row>
    <row r="50" spans="1:18" x14ac:dyDescent="0.25">
      <c r="A50" s="667"/>
      <c r="B50" s="307" t="s">
        <v>167</v>
      </c>
      <c r="C50" s="294">
        <v>129.1</v>
      </c>
      <c r="D50" s="308">
        <v>128.66300000000001</v>
      </c>
      <c r="E50" s="308">
        <f t="shared" si="2"/>
        <v>129.1</v>
      </c>
      <c r="F50" s="308" t="str">
        <f t="shared" si="0"/>
        <v>ok</v>
      </c>
      <c r="G50" s="308">
        <v>76.680000000000007</v>
      </c>
      <c r="H50" s="309"/>
      <c r="I50" s="309">
        <f>0.357-0.048</f>
        <v>0.309</v>
      </c>
      <c r="J50" s="309">
        <v>0.128</v>
      </c>
      <c r="K50" s="309"/>
      <c r="L50" s="308">
        <f>76.68+0.128</f>
        <v>76.808000000000007</v>
      </c>
      <c r="M50" s="311">
        <f t="shared" si="5"/>
        <v>76.808000000000007</v>
      </c>
      <c r="N50" s="311" t="str">
        <f t="shared" si="1"/>
        <v>ok</v>
      </c>
      <c r="O50" s="310">
        <v>0.40500000000000003</v>
      </c>
      <c r="P50" s="276">
        <f t="shared" si="6"/>
        <v>0.40505034856700223</v>
      </c>
      <c r="Q50" t="str">
        <f t="shared" si="4"/>
        <v>pas bon</v>
      </c>
      <c r="R50" s="306"/>
    </row>
    <row r="51" spans="1:18" x14ac:dyDescent="0.25">
      <c r="A51" s="667"/>
      <c r="B51" s="307" t="s">
        <v>168</v>
      </c>
      <c r="C51" s="294">
        <v>129.4</v>
      </c>
      <c r="D51" s="308">
        <v>128.999</v>
      </c>
      <c r="E51" s="308">
        <f t="shared" si="2"/>
        <v>129.4</v>
      </c>
      <c r="F51" s="308" t="str">
        <f t="shared" si="0"/>
        <v>ok</v>
      </c>
      <c r="G51" s="308">
        <v>76.239999999999995</v>
      </c>
      <c r="H51" s="309"/>
      <c r="I51" s="309">
        <f>0.469-0.068</f>
        <v>0.40099999999999997</v>
      </c>
      <c r="J51" s="309"/>
      <c r="K51" s="309"/>
      <c r="L51" s="308">
        <v>76.239999999999995</v>
      </c>
      <c r="M51" s="311">
        <f t="shared" si="5"/>
        <v>76.239999999999995</v>
      </c>
      <c r="N51" s="311" t="str">
        <f t="shared" si="1"/>
        <v>ok</v>
      </c>
      <c r="O51" s="310">
        <v>0.41099999999999998</v>
      </c>
      <c r="P51" s="276">
        <f t="shared" si="6"/>
        <v>0.41081916537867086</v>
      </c>
      <c r="Q51" t="str">
        <f t="shared" si="4"/>
        <v>pas bon</v>
      </c>
      <c r="R51" s="306"/>
    </row>
    <row r="52" spans="1:18" hidden="1" x14ac:dyDescent="0.25">
      <c r="A52" s="668" t="s">
        <v>175</v>
      </c>
      <c r="B52" s="312" t="s">
        <v>153</v>
      </c>
      <c r="C52" s="311"/>
      <c r="D52" s="313"/>
      <c r="E52" s="313">
        <f>D52+H52+I52+J52+K52</f>
        <v>0</v>
      </c>
      <c r="F52" s="313" t="str">
        <f t="shared" si="0"/>
        <v>ok</v>
      </c>
      <c r="G52" s="313"/>
      <c r="H52" s="314"/>
      <c r="I52" s="314"/>
      <c r="J52" s="314"/>
      <c r="K52" s="314"/>
      <c r="L52" s="313"/>
      <c r="M52" s="311">
        <f t="shared" si="5"/>
        <v>0</v>
      </c>
      <c r="N52" s="311" t="str">
        <f t="shared" si="1"/>
        <v>ok</v>
      </c>
      <c r="O52" s="315"/>
      <c r="P52" s="276" t="e">
        <f t="shared" si="6"/>
        <v>#DIV/0!</v>
      </c>
      <c r="Q52" t="e">
        <f t="shared" si="4"/>
        <v>#DIV/0!</v>
      </c>
    </row>
    <row r="53" spans="1:18" hidden="1" x14ac:dyDescent="0.25">
      <c r="A53" s="668"/>
      <c r="B53" s="312" t="s">
        <v>154</v>
      </c>
      <c r="C53" s="311"/>
      <c r="D53" s="313"/>
      <c r="E53" s="313">
        <f t="shared" si="2"/>
        <v>0</v>
      </c>
      <c r="F53" s="313" t="str">
        <f t="shared" si="0"/>
        <v>ok</v>
      </c>
      <c r="G53" s="313"/>
      <c r="H53" s="314"/>
      <c r="I53" s="314"/>
      <c r="J53" s="314"/>
      <c r="K53" s="314"/>
      <c r="L53" s="313"/>
      <c r="M53" s="311">
        <f t="shared" si="5"/>
        <v>0</v>
      </c>
      <c r="N53" s="311" t="str">
        <f t="shared" si="1"/>
        <v>ok</v>
      </c>
      <c r="O53" s="315"/>
      <c r="P53" s="276" t="e">
        <f t="shared" si="6"/>
        <v>#DIV/0!</v>
      </c>
      <c r="Q53" t="e">
        <f t="shared" si="4"/>
        <v>#DIV/0!</v>
      </c>
    </row>
    <row r="54" spans="1:18" hidden="1" x14ac:dyDescent="0.25">
      <c r="A54" s="668"/>
      <c r="B54" s="312" t="s">
        <v>155</v>
      </c>
      <c r="C54" s="311"/>
      <c r="D54" s="313"/>
      <c r="E54" s="313">
        <f t="shared" si="2"/>
        <v>0</v>
      </c>
      <c r="F54" s="313" t="str">
        <f t="shared" si="0"/>
        <v>ok</v>
      </c>
      <c r="G54" s="313"/>
      <c r="H54" s="314"/>
      <c r="I54" s="314"/>
      <c r="J54" s="314"/>
      <c r="K54" s="314"/>
      <c r="L54" s="313"/>
      <c r="M54" s="311">
        <f t="shared" si="5"/>
        <v>0</v>
      </c>
      <c r="N54" s="311" t="str">
        <f t="shared" si="1"/>
        <v>ok</v>
      </c>
      <c r="O54" s="315"/>
      <c r="P54" s="276" t="e">
        <f t="shared" si="6"/>
        <v>#DIV/0!</v>
      </c>
      <c r="Q54" t="e">
        <f t="shared" si="4"/>
        <v>#DIV/0!</v>
      </c>
    </row>
    <row r="55" spans="1:18" hidden="1" x14ac:dyDescent="0.25">
      <c r="A55" s="668"/>
      <c r="B55" s="312" t="s">
        <v>156</v>
      </c>
      <c r="C55" s="311"/>
      <c r="D55" s="313"/>
      <c r="E55" s="313">
        <f t="shared" si="2"/>
        <v>0</v>
      </c>
      <c r="F55" s="313" t="str">
        <f t="shared" si="0"/>
        <v>ok</v>
      </c>
      <c r="G55" s="313"/>
      <c r="H55" s="314"/>
      <c r="I55" s="314"/>
      <c r="J55" s="314"/>
      <c r="K55" s="314"/>
      <c r="L55" s="313"/>
      <c r="M55" s="311">
        <f t="shared" si="5"/>
        <v>0</v>
      </c>
      <c r="N55" s="311" t="str">
        <f t="shared" si="1"/>
        <v>ok</v>
      </c>
      <c r="O55" s="315"/>
      <c r="P55" s="276" t="e">
        <f t="shared" si="6"/>
        <v>#DIV/0!</v>
      </c>
      <c r="Q55" t="e">
        <f t="shared" si="4"/>
        <v>#DIV/0!</v>
      </c>
    </row>
    <row r="56" spans="1:18" hidden="1" x14ac:dyDescent="0.25">
      <c r="A56" s="668"/>
      <c r="B56" s="312" t="s">
        <v>157</v>
      </c>
      <c r="C56" s="311"/>
      <c r="D56" s="313"/>
      <c r="E56" s="313">
        <f t="shared" si="2"/>
        <v>0</v>
      </c>
      <c r="F56" s="313" t="str">
        <f t="shared" si="0"/>
        <v>ok</v>
      </c>
      <c r="G56" s="313"/>
      <c r="H56" s="314"/>
      <c r="I56" s="314"/>
      <c r="J56" s="314"/>
      <c r="K56" s="314"/>
      <c r="L56" s="313"/>
      <c r="M56" s="311">
        <f t="shared" si="5"/>
        <v>0</v>
      </c>
      <c r="N56" s="311" t="str">
        <f t="shared" si="1"/>
        <v>ok</v>
      </c>
      <c r="O56" s="315"/>
      <c r="P56" s="276" t="e">
        <f t="shared" si="6"/>
        <v>#DIV/0!</v>
      </c>
      <c r="Q56" t="e">
        <f t="shared" si="4"/>
        <v>#DIV/0!</v>
      </c>
    </row>
    <row r="57" spans="1:18" hidden="1" x14ac:dyDescent="0.25">
      <c r="A57" s="668"/>
      <c r="B57" s="312" t="s">
        <v>158</v>
      </c>
      <c r="C57" s="311"/>
      <c r="D57" s="313"/>
      <c r="E57" s="313">
        <f t="shared" si="2"/>
        <v>0</v>
      </c>
      <c r="F57" s="313" t="str">
        <f t="shared" si="0"/>
        <v>ok</v>
      </c>
      <c r="G57" s="313"/>
      <c r="H57" s="314"/>
      <c r="I57" s="314"/>
      <c r="J57" s="314"/>
      <c r="K57" s="314"/>
      <c r="L57" s="313"/>
      <c r="M57" s="311">
        <f t="shared" si="5"/>
        <v>0</v>
      </c>
      <c r="N57" s="311" t="str">
        <f t="shared" si="1"/>
        <v>ok</v>
      </c>
      <c r="O57" s="315"/>
      <c r="P57" s="276" t="e">
        <f t="shared" si="6"/>
        <v>#DIV/0!</v>
      </c>
      <c r="Q57" t="e">
        <f t="shared" si="4"/>
        <v>#DIV/0!</v>
      </c>
    </row>
    <row r="58" spans="1:18" hidden="1" x14ac:dyDescent="0.25">
      <c r="A58" s="668"/>
      <c r="B58" s="312" t="s">
        <v>159</v>
      </c>
      <c r="C58" s="311"/>
      <c r="D58" s="313"/>
      <c r="E58" s="313">
        <f t="shared" si="2"/>
        <v>0</v>
      </c>
      <c r="F58" s="313" t="str">
        <f t="shared" si="0"/>
        <v>ok</v>
      </c>
      <c r="G58" s="313"/>
      <c r="H58" s="314"/>
      <c r="I58" s="314"/>
      <c r="J58" s="314"/>
      <c r="K58" s="314"/>
      <c r="L58" s="313"/>
      <c r="M58" s="311">
        <f t="shared" si="5"/>
        <v>0</v>
      </c>
      <c r="N58" s="311" t="str">
        <f t="shared" si="1"/>
        <v>ok</v>
      </c>
      <c r="O58" s="315"/>
      <c r="P58" s="276" t="e">
        <f t="shared" si="6"/>
        <v>#DIV/0!</v>
      </c>
      <c r="Q58" t="e">
        <f t="shared" si="4"/>
        <v>#DIV/0!</v>
      </c>
    </row>
    <row r="59" spans="1:18" hidden="1" x14ac:dyDescent="0.25">
      <c r="A59" s="668"/>
      <c r="B59" s="312" t="s">
        <v>160</v>
      </c>
      <c r="C59" s="311"/>
      <c r="D59" s="313"/>
      <c r="E59" s="313">
        <f t="shared" si="2"/>
        <v>0</v>
      </c>
      <c r="F59" s="313" t="str">
        <f t="shared" si="0"/>
        <v>ok</v>
      </c>
      <c r="G59" s="313"/>
      <c r="H59" s="314"/>
      <c r="I59" s="314"/>
      <c r="J59" s="314"/>
      <c r="K59" s="314"/>
      <c r="L59" s="313"/>
      <c r="M59" s="311">
        <f t="shared" si="5"/>
        <v>0</v>
      </c>
      <c r="N59" s="311" t="str">
        <f t="shared" si="1"/>
        <v>ok</v>
      </c>
      <c r="O59" s="315"/>
      <c r="P59" s="276" t="e">
        <f t="shared" si="6"/>
        <v>#DIV/0!</v>
      </c>
      <c r="Q59" t="e">
        <f t="shared" si="4"/>
        <v>#DIV/0!</v>
      </c>
    </row>
    <row r="60" spans="1:18" hidden="1" x14ac:dyDescent="0.25">
      <c r="A60" s="668"/>
      <c r="B60" s="312" t="s">
        <v>161</v>
      </c>
      <c r="C60" s="311"/>
      <c r="D60" s="313"/>
      <c r="E60" s="313">
        <f t="shared" si="2"/>
        <v>0</v>
      </c>
      <c r="F60" s="313" t="str">
        <f t="shared" si="0"/>
        <v>ok</v>
      </c>
      <c r="G60" s="313"/>
      <c r="H60" s="314"/>
      <c r="I60" s="314"/>
      <c r="J60" s="314"/>
      <c r="K60" s="314"/>
      <c r="L60" s="313"/>
      <c r="M60" s="311">
        <f t="shared" si="5"/>
        <v>0</v>
      </c>
      <c r="N60" s="311" t="str">
        <f t="shared" si="1"/>
        <v>ok</v>
      </c>
      <c r="O60" s="315"/>
      <c r="P60" s="276" t="e">
        <f t="shared" si="6"/>
        <v>#DIV/0!</v>
      </c>
      <c r="Q60" t="e">
        <f t="shared" si="4"/>
        <v>#DIV/0!</v>
      </c>
    </row>
    <row r="61" spans="1:18" hidden="1" x14ac:dyDescent="0.25">
      <c r="A61" s="668"/>
      <c r="B61" s="312" t="s">
        <v>162</v>
      </c>
      <c r="C61" s="311"/>
      <c r="D61" s="313"/>
      <c r="E61" s="313">
        <f t="shared" si="2"/>
        <v>0</v>
      </c>
      <c r="F61" s="313" t="str">
        <f t="shared" si="0"/>
        <v>ok</v>
      </c>
      <c r="G61" s="313"/>
      <c r="H61" s="314"/>
      <c r="I61" s="314"/>
      <c r="J61" s="314"/>
      <c r="K61" s="314"/>
      <c r="L61" s="313"/>
      <c r="M61" s="311">
        <f t="shared" si="5"/>
        <v>0</v>
      </c>
      <c r="N61" s="311" t="str">
        <f t="shared" si="1"/>
        <v>ok</v>
      </c>
      <c r="O61" s="315"/>
      <c r="P61" s="276" t="e">
        <f t="shared" si="6"/>
        <v>#DIV/0!</v>
      </c>
      <c r="Q61" t="e">
        <f t="shared" si="4"/>
        <v>#DIV/0!</v>
      </c>
    </row>
    <row r="62" spans="1:18" hidden="1" x14ac:dyDescent="0.25">
      <c r="A62" s="668"/>
      <c r="B62" s="312" t="s">
        <v>163</v>
      </c>
      <c r="C62" s="311"/>
      <c r="D62" s="313"/>
      <c r="E62" s="313">
        <f t="shared" si="2"/>
        <v>0</v>
      </c>
      <c r="F62" s="313" t="str">
        <f t="shared" si="0"/>
        <v>ok</v>
      </c>
      <c r="G62" s="313"/>
      <c r="H62" s="314"/>
      <c r="I62" s="314"/>
      <c r="J62" s="314"/>
      <c r="K62" s="314"/>
      <c r="L62" s="313"/>
      <c r="M62" s="311">
        <f t="shared" si="5"/>
        <v>0</v>
      </c>
      <c r="N62" s="311" t="str">
        <f t="shared" si="1"/>
        <v>ok</v>
      </c>
      <c r="O62" s="315"/>
      <c r="P62" s="276" t="e">
        <f t="shared" si="6"/>
        <v>#DIV/0!</v>
      </c>
      <c r="Q62" t="e">
        <f t="shared" si="4"/>
        <v>#DIV/0!</v>
      </c>
      <c r="R62" s="282"/>
    </row>
    <row r="63" spans="1:18" hidden="1" x14ac:dyDescent="0.25">
      <c r="A63" s="668"/>
      <c r="B63" s="312" t="s">
        <v>164</v>
      </c>
      <c r="C63" s="311"/>
      <c r="D63" s="313"/>
      <c r="E63" s="313">
        <f t="shared" si="2"/>
        <v>0</v>
      </c>
      <c r="F63" s="313" t="str">
        <f t="shared" si="0"/>
        <v>ok</v>
      </c>
      <c r="G63" s="313"/>
      <c r="H63" s="314"/>
      <c r="I63" s="314"/>
      <c r="J63" s="314"/>
      <c r="K63" s="314"/>
      <c r="L63" s="313"/>
      <c r="M63" s="311">
        <f t="shared" si="5"/>
        <v>0</v>
      </c>
      <c r="N63" s="311" t="str">
        <f t="shared" si="1"/>
        <v>ok</v>
      </c>
      <c r="O63" s="315"/>
      <c r="P63" s="276" t="e">
        <f t="shared" si="6"/>
        <v>#DIV/0!</v>
      </c>
      <c r="Q63" t="e">
        <f t="shared" si="4"/>
        <v>#DIV/0!</v>
      </c>
    </row>
    <row r="64" spans="1:18" hidden="1" x14ac:dyDescent="0.25">
      <c r="A64" s="668"/>
      <c r="B64" s="312" t="s">
        <v>165</v>
      </c>
      <c r="C64" s="311"/>
      <c r="D64" s="313"/>
      <c r="E64" s="313">
        <f t="shared" si="2"/>
        <v>0</v>
      </c>
      <c r="F64" s="313" t="str">
        <f t="shared" si="0"/>
        <v>ok</v>
      </c>
      <c r="G64" s="313"/>
      <c r="H64" s="314"/>
      <c r="I64" s="314"/>
      <c r="J64" s="314"/>
      <c r="K64" s="314"/>
      <c r="L64" s="313"/>
      <c r="M64" s="311">
        <f t="shared" si="5"/>
        <v>0</v>
      </c>
      <c r="N64" s="311" t="str">
        <f t="shared" si="1"/>
        <v>ok</v>
      </c>
      <c r="O64" s="315"/>
      <c r="P64" s="276" t="e">
        <f t="shared" si="6"/>
        <v>#DIV/0!</v>
      </c>
      <c r="Q64" t="e">
        <f t="shared" si="4"/>
        <v>#DIV/0!</v>
      </c>
    </row>
    <row r="65" spans="1:17" hidden="1" x14ac:dyDescent="0.25">
      <c r="A65" s="668"/>
      <c r="B65" s="312" t="s">
        <v>166</v>
      </c>
      <c r="C65" s="311"/>
      <c r="D65" s="313"/>
      <c r="E65" s="313">
        <f t="shared" si="2"/>
        <v>0</v>
      </c>
      <c r="F65" s="313" t="str">
        <f t="shared" si="0"/>
        <v>ok</v>
      </c>
      <c r="G65" s="313"/>
      <c r="H65" s="314"/>
      <c r="I65" s="314"/>
      <c r="J65" s="314"/>
      <c r="K65" s="314"/>
      <c r="L65" s="313"/>
      <c r="M65" s="311">
        <f t="shared" si="5"/>
        <v>0</v>
      </c>
      <c r="N65" s="311" t="str">
        <f t="shared" si="1"/>
        <v>ok</v>
      </c>
      <c r="O65" s="315"/>
      <c r="P65" s="276" t="e">
        <f t="shared" si="6"/>
        <v>#DIV/0!</v>
      </c>
      <c r="Q65" t="e">
        <f t="shared" si="4"/>
        <v>#DIV/0!</v>
      </c>
    </row>
    <row r="66" spans="1:17" hidden="1" x14ac:dyDescent="0.25">
      <c r="A66" s="668"/>
      <c r="B66" s="312" t="s">
        <v>167</v>
      </c>
      <c r="C66" s="311"/>
      <c r="D66" s="313"/>
      <c r="E66" s="313">
        <f t="shared" si="2"/>
        <v>0</v>
      </c>
      <c r="F66" s="313" t="str">
        <f t="shared" ref="F66:F67" si="7">IF(E66=C66,"ok","pas bon")</f>
        <v>ok</v>
      </c>
      <c r="G66" s="313"/>
      <c r="H66" s="314"/>
      <c r="I66" s="314"/>
      <c r="J66" s="314"/>
      <c r="K66" s="314"/>
      <c r="L66" s="313"/>
      <c r="M66" s="311">
        <f t="shared" si="5"/>
        <v>0</v>
      </c>
      <c r="N66" s="311" t="str">
        <f t="shared" ref="N66:N67" si="8">IF(M66=L66,"ok", "pas bon")</f>
        <v>ok</v>
      </c>
      <c r="O66" s="315"/>
      <c r="P66" s="276" t="e">
        <f t="shared" si="6"/>
        <v>#DIV/0!</v>
      </c>
      <c r="Q66" t="e">
        <f t="shared" si="4"/>
        <v>#DIV/0!</v>
      </c>
    </row>
    <row r="67" spans="1:17" hidden="1" x14ac:dyDescent="0.25">
      <c r="A67" s="668"/>
      <c r="B67" s="312" t="s">
        <v>168</v>
      </c>
      <c r="C67" s="311"/>
      <c r="D67" s="313"/>
      <c r="E67" s="313">
        <f t="shared" ref="E67" si="9">D67+H67+I67+J67+K67</f>
        <v>0</v>
      </c>
      <c r="F67" s="313" t="str">
        <f t="shared" si="7"/>
        <v>ok</v>
      </c>
      <c r="G67" s="313"/>
      <c r="H67" s="314"/>
      <c r="I67" s="314"/>
      <c r="J67" s="314"/>
      <c r="K67" s="314"/>
      <c r="L67" s="313"/>
      <c r="M67" s="311">
        <f t="shared" si="5"/>
        <v>0</v>
      </c>
      <c r="N67" s="311" t="str">
        <f t="shared" si="8"/>
        <v>ok</v>
      </c>
      <c r="O67" s="315"/>
      <c r="P67" s="276" t="e">
        <f t="shared" si="6"/>
        <v>#DIV/0!</v>
      </c>
      <c r="Q67" t="e">
        <f t="shared" ref="Q67" si="10">IF(O67=P67,"ok","pas bon")</f>
        <v>#DIV/0!</v>
      </c>
    </row>
    <row r="68" spans="1:17" x14ac:dyDescent="0.25">
      <c r="O68" s="39" t="e">
        <f>AVERAGE(O52:O67)</f>
        <v>#DIV/0!</v>
      </c>
    </row>
    <row r="69" spans="1:17" s="316" customFormat="1" ht="45" customHeight="1" x14ac:dyDescent="0.25">
      <c r="A69" s="660" t="s">
        <v>176</v>
      </c>
      <c r="B69" s="660" t="s">
        <v>177</v>
      </c>
      <c r="C69" s="660" t="s">
        <v>178</v>
      </c>
      <c r="D69" s="660" t="s">
        <v>179</v>
      </c>
      <c r="E69" s="660" t="s">
        <v>180</v>
      </c>
      <c r="F69" s="660"/>
      <c r="G69" s="660"/>
      <c r="H69" s="660"/>
      <c r="I69" s="660" t="s">
        <v>181</v>
      </c>
      <c r="J69" s="660" t="s">
        <v>182</v>
      </c>
      <c r="K69" s="660" t="s">
        <v>183</v>
      </c>
    </row>
    <row r="70" spans="1:17" s="316" customFormat="1" ht="51" x14ac:dyDescent="0.25">
      <c r="A70" s="660"/>
      <c r="B70" s="660"/>
      <c r="C70" s="660"/>
      <c r="D70" s="660"/>
      <c r="E70" s="317" t="s">
        <v>184</v>
      </c>
      <c r="F70" s="317" t="s">
        <v>185</v>
      </c>
      <c r="G70" s="317" t="s">
        <v>186</v>
      </c>
      <c r="H70" s="317" t="s">
        <v>187</v>
      </c>
      <c r="I70" s="660"/>
      <c r="J70" s="660"/>
      <c r="K70" s="660"/>
      <c r="L70" s="318" t="s">
        <v>188</v>
      </c>
      <c r="M70" s="318" t="s">
        <v>189</v>
      </c>
    </row>
    <row r="71" spans="1:17" s="322" customFormat="1" x14ac:dyDescent="0.25">
      <c r="A71" s="659" t="s">
        <v>190</v>
      </c>
      <c r="B71" s="33" t="str">
        <f>B36</f>
        <v>ISS PB BAN</v>
      </c>
      <c r="C71" s="319">
        <f>C36</f>
        <v>126.6</v>
      </c>
      <c r="D71" s="319">
        <f>D36</f>
        <v>125.145</v>
      </c>
      <c r="E71" s="319">
        <f>I36</f>
        <v>0.06</v>
      </c>
      <c r="F71" s="319">
        <f>H36</f>
        <v>0</v>
      </c>
      <c r="G71" s="319">
        <f>J36</f>
        <v>3.5000000000000003E-2</v>
      </c>
      <c r="H71" s="319">
        <f>K36</f>
        <v>1.36</v>
      </c>
      <c r="I71" s="319">
        <f>G36</f>
        <v>82.54</v>
      </c>
      <c r="J71" s="319">
        <f>L36</f>
        <v>83.935000000000002</v>
      </c>
      <c r="K71" s="320">
        <f>((C71-J71)/C71)</f>
        <v>0.3370063191153238</v>
      </c>
      <c r="L71" s="321" t="str">
        <f>IF(ROUND(K71,1)=ROUND(M71,1),"ok","pas bon")</f>
        <v>ok</v>
      </c>
      <c r="M71" s="232">
        <f>O36</f>
        <v>0.33700999999999998</v>
      </c>
    </row>
    <row r="72" spans="1:17" s="322" customFormat="1" x14ac:dyDescent="0.25">
      <c r="A72" s="659"/>
      <c r="B72" s="33" t="str">
        <f>B53</f>
        <v>ISS PC BAN</v>
      </c>
      <c r="C72" s="319">
        <f t="shared" ref="C72:D74" si="11">C37</f>
        <v>128.19999999999999</v>
      </c>
      <c r="D72" s="319">
        <f t="shared" si="11"/>
        <v>127.964</v>
      </c>
      <c r="E72" s="319">
        <f t="shared" ref="E72:E74" si="12">I37</f>
        <v>0</v>
      </c>
      <c r="F72" s="319">
        <f t="shared" ref="F72:F74" si="13">H37</f>
        <v>0</v>
      </c>
      <c r="G72" s="319">
        <f t="shared" ref="G72:H74" si="14">J37</f>
        <v>0.23599999999999999</v>
      </c>
      <c r="H72" s="319">
        <f t="shared" si="14"/>
        <v>0</v>
      </c>
      <c r="I72" s="319">
        <f t="shared" ref="I72:I74" si="15">G37</f>
        <v>80.42</v>
      </c>
      <c r="J72" s="319">
        <f t="shared" ref="J72:J74" si="16">L37</f>
        <v>80.656000000000006</v>
      </c>
      <c r="K72" s="320">
        <f t="shared" ref="K72:K91" si="17">((C72-J72)/C72)</f>
        <v>0.37085803432137276</v>
      </c>
      <c r="L72" s="321" t="str">
        <f t="shared" ref="L72:L74" si="18">IF(ROUND(K72,1)=ROUND(M72,1),"ok","pas bon")</f>
        <v>ok</v>
      </c>
      <c r="M72" s="232">
        <f t="shared" ref="M72:M74" si="19">O37</f>
        <v>0.371</v>
      </c>
    </row>
    <row r="73" spans="1:17" s="322" customFormat="1" x14ac:dyDescent="0.25">
      <c r="A73" s="659"/>
      <c r="B73" s="33" t="str">
        <f>B54</f>
        <v>ISS  PB PAR</v>
      </c>
      <c r="C73" s="319">
        <f t="shared" si="11"/>
        <v>126.8</v>
      </c>
      <c r="D73" s="319">
        <f t="shared" si="11"/>
        <v>126.8</v>
      </c>
      <c r="E73" s="319">
        <f t="shared" si="12"/>
        <v>0</v>
      </c>
      <c r="F73" s="319">
        <f t="shared" si="13"/>
        <v>0</v>
      </c>
      <c r="G73" s="319">
        <f t="shared" si="14"/>
        <v>0</v>
      </c>
      <c r="H73" s="319">
        <f t="shared" si="14"/>
        <v>0</v>
      </c>
      <c r="I73" s="319">
        <f t="shared" si="15"/>
        <v>80.22</v>
      </c>
      <c r="J73" s="319">
        <f t="shared" si="16"/>
        <v>80.22</v>
      </c>
      <c r="K73" s="320">
        <f>((C73-J73)/C73)</f>
        <v>0.36735015772870661</v>
      </c>
      <c r="L73" s="321" t="str">
        <f>IF(ROUND(K73,1)=ROUND(M73,1),"ok","pas bon")</f>
        <v>ok</v>
      </c>
      <c r="M73" s="232">
        <f t="shared" si="19"/>
        <v>0.36699999999999999</v>
      </c>
    </row>
    <row r="74" spans="1:17" s="322" customFormat="1" x14ac:dyDescent="0.25">
      <c r="A74" s="659"/>
      <c r="B74" s="33" t="str">
        <f>B55</f>
        <v>ISS  PC PAR</v>
      </c>
      <c r="C74" s="319">
        <f t="shared" si="11"/>
        <v>126.4</v>
      </c>
      <c r="D74" s="319">
        <f t="shared" si="11"/>
        <v>126.4</v>
      </c>
      <c r="E74" s="319">
        <f t="shared" si="12"/>
        <v>0</v>
      </c>
      <c r="F74" s="319">
        <f t="shared" si="13"/>
        <v>0</v>
      </c>
      <c r="G74" s="319">
        <f t="shared" si="14"/>
        <v>0</v>
      </c>
      <c r="H74" s="319">
        <f t="shared" si="14"/>
        <v>0</v>
      </c>
      <c r="I74" s="319">
        <f t="shared" si="15"/>
        <v>76.92</v>
      </c>
      <c r="J74" s="319">
        <f t="shared" si="16"/>
        <v>76.92</v>
      </c>
      <c r="K74" s="320">
        <f t="shared" si="17"/>
        <v>0.39145569620253168</v>
      </c>
      <c r="L74" s="321" t="str">
        <f t="shared" si="18"/>
        <v>ok</v>
      </c>
      <c r="M74" s="232">
        <f t="shared" si="19"/>
        <v>0.39100000000000001</v>
      </c>
    </row>
    <row r="75" spans="1:17" s="322" customFormat="1" ht="12.75" x14ac:dyDescent="0.2">
      <c r="A75" s="659"/>
      <c r="B75" s="191" t="s">
        <v>191</v>
      </c>
      <c r="C75" s="323">
        <f>AVERAGE(C71:C74)</f>
        <v>127</v>
      </c>
      <c r="D75" s="323">
        <f t="shared" ref="D75:J75" si="20">AVERAGE(D71:D74)</f>
        <v>126.57724999999999</v>
      </c>
      <c r="E75" s="323">
        <f t="shared" si="20"/>
        <v>1.4999999999999999E-2</v>
      </c>
      <c r="F75" s="323">
        <f t="shared" si="20"/>
        <v>0</v>
      </c>
      <c r="G75" s="323">
        <f t="shared" si="20"/>
        <v>6.7750000000000005E-2</v>
      </c>
      <c r="H75" s="323">
        <f t="shared" si="20"/>
        <v>0.34</v>
      </c>
      <c r="I75" s="323">
        <f t="shared" si="20"/>
        <v>80.025000000000006</v>
      </c>
      <c r="J75" s="323">
        <f t="shared" si="20"/>
        <v>80.432749999999999</v>
      </c>
      <c r="K75" s="324">
        <f t="shared" si="17"/>
        <v>0.36667125984251969</v>
      </c>
      <c r="M75" s="321"/>
    </row>
    <row r="76" spans="1:17" s="322" customFormat="1" x14ac:dyDescent="0.25">
      <c r="A76" s="659" t="s">
        <v>192</v>
      </c>
      <c r="B76" s="33" t="str">
        <f>B40</f>
        <v>IVR  PB BAN</v>
      </c>
      <c r="C76" s="319">
        <f>C40</f>
        <v>125.65</v>
      </c>
      <c r="D76" s="319">
        <f>D40</f>
        <v>125.36</v>
      </c>
      <c r="E76" s="319">
        <f>I40</f>
        <v>0.21700000000000003</v>
      </c>
      <c r="F76" s="319">
        <f>H40</f>
        <v>0</v>
      </c>
      <c r="G76" s="319">
        <f>J40</f>
        <v>7.2999999999999995E-2</v>
      </c>
      <c r="H76" s="319">
        <f>K40</f>
        <v>0</v>
      </c>
      <c r="I76" s="319">
        <f>G40</f>
        <v>81.239999999999995</v>
      </c>
      <c r="J76" s="319">
        <f>L40</f>
        <v>81.312999999999988</v>
      </c>
      <c r="K76" s="320">
        <f t="shared" si="17"/>
        <v>0.35286112216474347</v>
      </c>
      <c r="L76" s="321" t="str">
        <f>IF(ROUND(K76,1)=ROUND(M76,1),"ok","pas bon")</f>
        <v>ok</v>
      </c>
      <c r="M76" s="232">
        <f>O40</f>
        <v>0.35299999999999998</v>
      </c>
    </row>
    <row r="77" spans="1:17" s="322" customFormat="1" x14ac:dyDescent="0.25">
      <c r="A77" s="659"/>
      <c r="B77" s="33" t="str">
        <f t="shared" ref="B77:D79" si="21">B41</f>
        <v>IVR PC BAN</v>
      </c>
      <c r="C77" s="319">
        <f t="shared" si="21"/>
        <v>127.36</v>
      </c>
      <c r="D77" s="319">
        <f t="shared" si="21"/>
        <v>124.887</v>
      </c>
      <c r="E77" s="319">
        <f t="shared" ref="E77:E79" si="22">I41</f>
        <v>0.53399999999999992</v>
      </c>
      <c r="F77" s="319">
        <f t="shared" ref="F77:F79" si="23">H41</f>
        <v>0.95899999999999996</v>
      </c>
      <c r="G77" s="319">
        <f t="shared" ref="G77:H79" si="24">J41</f>
        <v>0</v>
      </c>
      <c r="H77" s="319">
        <f t="shared" si="24"/>
        <v>0.98</v>
      </c>
      <c r="I77" s="319">
        <f t="shared" ref="I77:I79" si="25">G41</f>
        <v>78.44</v>
      </c>
      <c r="J77" s="319">
        <f t="shared" ref="J77:J79" si="26">L41</f>
        <v>80.379000000000005</v>
      </c>
      <c r="K77" s="320">
        <f t="shared" si="17"/>
        <v>0.36888347989949744</v>
      </c>
      <c r="L77" s="321" t="str">
        <f t="shared" ref="L77:L79" si="27">IF(ROUND(K77,1)=ROUND(M77,1),"ok","pas bon")</f>
        <v>ok</v>
      </c>
      <c r="M77" s="232">
        <f>O41</f>
        <v>0.36899999999999999</v>
      </c>
    </row>
    <row r="78" spans="1:17" s="322" customFormat="1" x14ac:dyDescent="0.25">
      <c r="A78" s="659"/>
      <c r="B78" s="33" t="str">
        <f t="shared" si="21"/>
        <v>IVR  PB PAR</v>
      </c>
      <c r="C78" s="319">
        <f t="shared" si="21"/>
        <v>126.08</v>
      </c>
      <c r="D78" s="319">
        <f t="shared" si="21"/>
        <v>126.08</v>
      </c>
      <c r="E78" s="319">
        <f t="shared" si="22"/>
        <v>0</v>
      </c>
      <c r="F78" s="319">
        <f t="shared" si="23"/>
        <v>0</v>
      </c>
      <c r="G78" s="319">
        <f t="shared" si="24"/>
        <v>0</v>
      </c>
      <c r="H78" s="319">
        <f t="shared" si="24"/>
        <v>0</v>
      </c>
      <c r="I78" s="319">
        <f t="shared" si="25"/>
        <v>76.44</v>
      </c>
      <c r="J78" s="319">
        <f t="shared" si="26"/>
        <v>76.44</v>
      </c>
      <c r="K78" s="320">
        <f t="shared" si="17"/>
        <v>0.39371827411167515</v>
      </c>
      <c r="L78" s="321" t="str">
        <f>IF(ROUND(K78,1)=ROUND(M78,1),"ok","pas bon")</f>
        <v>ok</v>
      </c>
      <c r="M78" s="232">
        <f>O42</f>
        <v>0.39400000000000002</v>
      </c>
    </row>
    <row r="79" spans="1:17" s="322" customFormat="1" x14ac:dyDescent="0.25">
      <c r="A79" s="659"/>
      <c r="B79" s="33" t="str">
        <f t="shared" si="21"/>
        <v>IVR  PC PAR</v>
      </c>
      <c r="C79" s="319">
        <f t="shared" si="21"/>
        <v>129.02000000000001</v>
      </c>
      <c r="D79" s="319">
        <f t="shared" si="21"/>
        <v>128.78299999999999</v>
      </c>
      <c r="E79" s="319">
        <f t="shared" si="22"/>
        <v>0.23700000000000002</v>
      </c>
      <c r="F79" s="319">
        <f t="shared" si="23"/>
        <v>0</v>
      </c>
      <c r="G79" s="319">
        <f t="shared" si="24"/>
        <v>0</v>
      </c>
      <c r="H79" s="319">
        <f t="shared" si="24"/>
        <v>0</v>
      </c>
      <c r="I79" s="319">
        <f t="shared" si="25"/>
        <v>67.88</v>
      </c>
      <c r="J79" s="319">
        <f t="shared" si="26"/>
        <v>67.88</v>
      </c>
      <c r="K79" s="320">
        <f t="shared" si="17"/>
        <v>0.47388001860176726</v>
      </c>
      <c r="L79" s="321" t="str">
        <f t="shared" si="27"/>
        <v>ok</v>
      </c>
      <c r="M79" s="232">
        <f>O43</f>
        <v>0.47399999999999998</v>
      </c>
    </row>
    <row r="80" spans="1:17" s="322" customFormat="1" ht="12.75" x14ac:dyDescent="0.2">
      <c r="A80" s="659"/>
      <c r="B80" s="191" t="s">
        <v>191</v>
      </c>
      <c r="C80" s="323">
        <f>AVERAGE(C76:C79)</f>
        <v>127.0275</v>
      </c>
      <c r="D80" s="323">
        <f t="shared" ref="D80:J80" si="28">AVERAGE(D76:D79)</f>
        <v>126.2775</v>
      </c>
      <c r="E80" s="323">
        <f t="shared" si="28"/>
        <v>0.24699999999999997</v>
      </c>
      <c r="F80" s="323">
        <f t="shared" si="28"/>
        <v>0.23974999999999999</v>
      </c>
      <c r="G80" s="323">
        <f t="shared" si="28"/>
        <v>1.8249999999999999E-2</v>
      </c>
      <c r="H80" s="323">
        <f t="shared" si="28"/>
        <v>0.245</v>
      </c>
      <c r="I80" s="323">
        <f t="shared" si="28"/>
        <v>76</v>
      </c>
      <c r="J80" s="323">
        <f t="shared" si="28"/>
        <v>76.503</v>
      </c>
      <c r="K80" s="324">
        <f t="shared" si="17"/>
        <v>0.39774458286591485</v>
      </c>
      <c r="M80" s="321"/>
    </row>
    <row r="81" spans="1:13" s="322" customFormat="1" ht="15" customHeight="1" x14ac:dyDescent="0.25">
      <c r="A81" s="659" t="s">
        <v>193</v>
      </c>
      <c r="B81" s="33" t="str">
        <f>B44</f>
        <v>ROM  PB BAN</v>
      </c>
      <c r="C81" s="319">
        <f>C44</f>
        <v>128.6</v>
      </c>
      <c r="D81" s="319">
        <f>D44</f>
        <v>128.6</v>
      </c>
      <c r="E81" s="319">
        <f>I44</f>
        <v>0</v>
      </c>
      <c r="F81" s="319">
        <f>H44</f>
        <v>0</v>
      </c>
      <c r="G81" s="319">
        <f>J44</f>
        <v>0</v>
      </c>
      <c r="H81" s="319">
        <f>K44</f>
        <v>0</v>
      </c>
      <c r="I81" s="319">
        <f>G44</f>
        <v>69.599999999999994</v>
      </c>
      <c r="J81" s="319">
        <f>L44</f>
        <v>69.599999999999994</v>
      </c>
      <c r="K81" s="320">
        <f t="shared" si="17"/>
        <v>0.45878693623639194</v>
      </c>
      <c r="L81" s="321" t="str">
        <f>IF(ROUND(K81,1)=ROUND(M81,1),"ok","pas bon")</f>
        <v>ok</v>
      </c>
      <c r="M81" s="232">
        <f>O44</f>
        <v>0.45900000000000002</v>
      </c>
    </row>
    <row r="82" spans="1:13" s="322" customFormat="1" x14ac:dyDescent="0.25">
      <c r="A82" s="659"/>
      <c r="B82" s="33" t="str">
        <f t="shared" ref="B82:D84" si="29">B45</f>
        <v>ROM PC BAN</v>
      </c>
      <c r="C82" s="319">
        <f t="shared" si="29"/>
        <v>130.1</v>
      </c>
      <c r="D82" s="319">
        <f t="shared" si="29"/>
        <v>127.96</v>
      </c>
      <c r="E82" s="319">
        <f t="shared" ref="E82:E84" si="30">I45</f>
        <v>2.1399999999999997</v>
      </c>
      <c r="F82" s="319">
        <f t="shared" ref="F82:F84" si="31">H45</f>
        <v>0</v>
      </c>
      <c r="G82" s="319">
        <f t="shared" ref="G82:H84" si="32">J45</f>
        <v>0</v>
      </c>
      <c r="H82" s="319">
        <f t="shared" si="32"/>
        <v>0</v>
      </c>
      <c r="I82" s="319">
        <f t="shared" ref="I82:I84" si="33">G45</f>
        <v>76.959999999999994</v>
      </c>
      <c r="J82" s="319">
        <f t="shared" ref="J82:J84" si="34">L45</f>
        <v>76.959999999999994</v>
      </c>
      <c r="K82" s="320">
        <f t="shared" si="17"/>
        <v>0.40845503458877791</v>
      </c>
      <c r="L82" s="321" t="str">
        <f t="shared" ref="L82:L84" si="35">IF(ROUND(K82,1)=ROUND(M82,1),"ok","pas bon")</f>
        <v>ok</v>
      </c>
      <c r="M82" s="232">
        <f>O45</f>
        <v>0.40799999999999997</v>
      </c>
    </row>
    <row r="83" spans="1:13" s="322" customFormat="1" x14ac:dyDescent="0.25">
      <c r="A83" s="659"/>
      <c r="B83" s="33" t="str">
        <f t="shared" si="29"/>
        <v>ROM  PB PAR</v>
      </c>
      <c r="C83" s="319">
        <f t="shared" si="29"/>
        <v>124.6</v>
      </c>
      <c r="D83" s="319">
        <f t="shared" si="29"/>
        <v>122.44799999999999</v>
      </c>
      <c r="E83" s="319">
        <f t="shared" si="30"/>
        <v>0.41300000000000003</v>
      </c>
      <c r="F83" s="319">
        <f t="shared" si="31"/>
        <v>0</v>
      </c>
      <c r="G83" s="319">
        <f t="shared" si="32"/>
        <v>7.9000000000000001E-2</v>
      </c>
      <c r="H83" s="319">
        <f t="shared" si="32"/>
        <v>1.66</v>
      </c>
      <c r="I83" s="319">
        <f t="shared" si="33"/>
        <v>81.16</v>
      </c>
      <c r="J83" s="319">
        <f t="shared" si="34"/>
        <v>82.898999999999987</v>
      </c>
      <c r="K83" s="320">
        <f t="shared" si="17"/>
        <v>0.33467897271268066</v>
      </c>
      <c r="L83" s="321" t="str">
        <f>IF(ROUND(K83,1)=ROUND(M83,1),"ok","pas bon")</f>
        <v>ok</v>
      </c>
      <c r="M83" s="232">
        <f>O46</f>
        <v>0.33500000000000002</v>
      </c>
    </row>
    <row r="84" spans="1:13" s="322" customFormat="1" x14ac:dyDescent="0.25">
      <c r="A84" s="659"/>
      <c r="B84" s="33" t="str">
        <f t="shared" si="29"/>
        <v>ROM  PC PAR</v>
      </c>
      <c r="C84" s="319">
        <f t="shared" si="29"/>
        <v>124.6</v>
      </c>
      <c r="D84" s="319">
        <f t="shared" si="29"/>
        <v>121.502</v>
      </c>
      <c r="E84" s="319">
        <f t="shared" si="30"/>
        <v>2.6380000000000003</v>
      </c>
      <c r="F84" s="319">
        <f t="shared" si="31"/>
        <v>0</v>
      </c>
      <c r="G84" s="319">
        <f t="shared" si="32"/>
        <v>0</v>
      </c>
      <c r="H84" s="319">
        <f t="shared" si="32"/>
        <v>0.46</v>
      </c>
      <c r="I84" s="319">
        <f t="shared" si="33"/>
        <v>75.900000000000006</v>
      </c>
      <c r="J84" s="319">
        <f t="shared" si="34"/>
        <v>76.36</v>
      </c>
      <c r="K84" s="320">
        <f t="shared" si="17"/>
        <v>0.38715890850722307</v>
      </c>
      <c r="L84" s="321" t="str">
        <f t="shared" si="35"/>
        <v>ok</v>
      </c>
      <c r="M84" s="232">
        <f>O47</f>
        <v>0.38700000000000001</v>
      </c>
    </row>
    <row r="85" spans="1:13" s="322" customFormat="1" ht="12.75" x14ac:dyDescent="0.2">
      <c r="A85" s="659"/>
      <c r="B85" s="191" t="s">
        <v>191</v>
      </c>
      <c r="C85" s="323">
        <f>AVERAGE(C81:C84)</f>
        <v>126.97499999999999</v>
      </c>
      <c r="D85" s="323">
        <f t="shared" ref="D85:J85" si="36">AVERAGE(D81:D84)</f>
        <v>125.1275</v>
      </c>
      <c r="E85" s="323">
        <f t="shared" si="36"/>
        <v>1.2977500000000002</v>
      </c>
      <c r="F85" s="323">
        <f t="shared" si="36"/>
        <v>0</v>
      </c>
      <c r="G85" s="323">
        <f t="shared" si="36"/>
        <v>1.975E-2</v>
      </c>
      <c r="H85" s="323">
        <f t="shared" si="36"/>
        <v>0.53</v>
      </c>
      <c r="I85" s="323">
        <f t="shared" si="36"/>
        <v>75.905000000000001</v>
      </c>
      <c r="J85" s="323">
        <f t="shared" si="36"/>
        <v>76.454750000000004</v>
      </c>
      <c r="K85" s="324">
        <f t="shared" si="17"/>
        <v>0.39787556605631025</v>
      </c>
      <c r="M85" s="321"/>
    </row>
    <row r="86" spans="1:13" s="322" customFormat="1" x14ac:dyDescent="0.25">
      <c r="A86" s="659" t="s">
        <v>194</v>
      </c>
      <c r="B86" s="33" t="str">
        <f>B48</f>
        <v>STO  PB BAN</v>
      </c>
      <c r="C86" s="319">
        <f>C48</f>
        <v>127</v>
      </c>
      <c r="D86" s="319">
        <f>D48</f>
        <v>127</v>
      </c>
      <c r="E86" s="319">
        <f>I48</f>
        <v>0</v>
      </c>
      <c r="F86" s="319">
        <f>H48</f>
        <v>0</v>
      </c>
      <c r="G86" s="319">
        <f>J48</f>
        <v>0</v>
      </c>
      <c r="H86" s="319">
        <f>K48</f>
        <v>0</v>
      </c>
      <c r="I86" s="319">
        <f>G48</f>
        <v>78.16</v>
      </c>
      <c r="J86" s="319">
        <f>L48</f>
        <v>78.16</v>
      </c>
      <c r="K86" s="320">
        <f t="shared" si="17"/>
        <v>0.38456692913385832</v>
      </c>
      <c r="L86" s="321" t="str">
        <f>IF(ROUND(K86,1)=ROUND(M86,1),"ok","pas bon")</f>
        <v>ok</v>
      </c>
      <c r="M86" s="232">
        <f>O48</f>
        <v>0.38500000000000001</v>
      </c>
    </row>
    <row r="87" spans="1:13" s="322" customFormat="1" x14ac:dyDescent="0.25">
      <c r="A87" s="659"/>
      <c r="B87" s="33" t="str">
        <f t="shared" ref="B87:D89" si="37">B49</f>
        <v>STO PC BAN</v>
      </c>
      <c r="C87" s="319">
        <f t="shared" si="37"/>
        <v>126.7</v>
      </c>
      <c r="D87" s="319">
        <f t="shared" si="37"/>
        <v>126.364</v>
      </c>
      <c r="E87" s="319">
        <f t="shared" ref="E87:E89" si="38">I49</f>
        <v>0.33599999999999997</v>
      </c>
      <c r="F87" s="319">
        <f t="shared" ref="F87:F89" si="39">H49</f>
        <v>0</v>
      </c>
      <c r="G87" s="319">
        <f t="shared" ref="G87:H89" si="40">J49</f>
        <v>0</v>
      </c>
      <c r="H87" s="319">
        <f t="shared" si="40"/>
        <v>0</v>
      </c>
      <c r="I87" s="319">
        <f t="shared" ref="I87:I89" si="41">G49</f>
        <v>91.06</v>
      </c>
      <c r="J87" s="319">
        <f t="shared" ref="J87:J89" si="42">L49</f>
        <v>91.06</v>
      </c>
      <c r="K87" s="320">
        <f t="shared" si="17"/>
        <v>0.2812943962115233</v>
      </c>
      <c r="L87" s="321" t="str">
        <f t="shared" ref="L87:L89" si="43">IF(ROUND(K87,1)=ROUND(M87,1),"ok","pas bon")</f>
        <v>ok</v>
      </c>
      <c r="M87" s="232">
        <f>O49</f>
        <v>0.28100000000000003</v>
      </c>
    </row>
    <row r="88" spans="1:13" s="322" customFormat="1" x14ac:dyDescent="0.25">
      <c r="A88" s="659"/>
      <c r="B88" s="33" t="str">
        <f t="shared" si="37"/>
        <v>STO  PB PAR</v>
      </c>
      <c r="C88" s="319">
        <f t="shared" si="37"/>
        <v>129.1</v>
      </c>
      <c r="D88" s="319">
        <f t="shared" si="37"/>
        <v>128.66300000000001</v>
      </c>
      <c r="E88" s="319">
        <f t="shared" si="38"/>
        <v>0.309</v>
      </c>
      <c r="F88" s="319">
        <f t="shared" si="39"/>
        <v>0</v>
      </c>
      <c r="G88" s="319">
        <f t="shared" si="40"/>
        <v>0.128</v>
      </c>
      <c r="H88" s="319">
        <f t="shared" si="40"/>
        <v>0</v>
      </c>
      <c r="I88" s="319">
        <f t="shared" si="41"/>
        <v>76.680000000000007</v>
      </c>
      <c r="J88" s="319">
        <f t="shared" si="42"/>
        <v>76.808000000000007</v>
      </c>
      <c r="K88" s="320">
        <f t="shared" si="17"/>
        <v>0.40505034856700223</v>
      </c>
      <c r="L88" s="321" t="str">
        <f>IF(ROUND(K88,1)=ROUND(M88,1),"ok","pas bon")</f>
        <v>ok</v>
      </c>
      <c r="M88" s="232">
        <f>O50</f>
        <v>0.40500000000000003</v>
      </c>
    </row>
    <row r="89" spans="1:13" s="322" customFormat="1" x14ac:dyDescent="0.25">
      <c r="A89" s="659"/>
      <c r="B89" s="33" t="str">
        <f t="shared" si="37"/>
        <v>STO  PC PAR</v>
      </c>
      <c r="C89" s="319">
        <f t="shared" si="37"/>
        <v>129.4</v>
      </c>
      <c r="D89" s="319">
        <f t="shared" si="37"/>
        <v>128.999</v>
      </c>
      <c r="E89" s="319">
        <f t="shared" si="38"/>
        <v>0.40099999999999997</v>
      </c>
      <c r="F89" s="319">
        <f t="shared" si="39"/>
        <v>0</v>
      </c>
      <c r="G89" s="319">
        <f t="shared" si="40"/>
        <v>0</v>
      </c>
      <c r="H89" s="319">
        <f t="shared" si="40"/>
        <v>0</v>
      </c>
      <c r="I89" s="319">
        <f t="shared" si="41"/>
        <v>76.239999999999995</v>
      </c>
      <c r="J89" s="319">
        <f t="shared" si="42"/>
        <v>76.239999999999995</v>
      </c>
      <c r="K89" s="320">
        <f t="shared" si="17"/>
        <v>0.41081916537867086</v>
      </c>
      <c r="L89" s="321" t="str">
        <f t="shared" si="43"/>
        <v>ok</v>
      </c>
      <c r="M89" s="232">
        <f>O51</f>
        <v>0.41099999999999998</v>
      </c>
    </row>
    <row r="90" spans="1:13" x14ac:dyDescent="0.25">
      <c r="A90" s="659"/>
      <c r="B90" s="191" t="s">
        <v>191</v>
      </c>
      <c r="C90" s="323">
        <f>AVERAGE(C86:C89)</f>
        <v>128.04999999999998</v>
      </c>
      <c r="D90" s="323">
        <f t="shared" ref="D90:J90" si="44">AVERAGE(D86:D89)</f>
        <v>127.75650000000002</v>
      </c>
      <c r="E90" s="323">
        <f t="shared" si="44"/>
        <v>0.26150000000000001</v>
      </c>
      <c r="F90" s="323">
        <f t="shared" si="44"/>
        <v>0</v>
      </c>
      <c r="G90" s="323">
        <f t="shared" si="44"/>
        <v>3.2000000000000001E-2</v>
      </c>
      <c r="H90" s="323">
        <f t="shared" si="44"/>
        <v>0</v>
      </c>
      <c r="I90" s="323">
        <f t="shared" si="44"/>
        <v>80.534999999999997</v>
      </c>
      <c r="J90" s="323">
        <f t="shared" si="44"/>
        <v>80.567000000000007</v>
      </c>
      <c r="K90" s="324">
        <f t="shared" si="17"/>
        <v>0.3708160874658335</v>
      </c>
    </row>
    <row r="91" spans="1:13" x14ac:dyDescent="0.25">
      <c r="A91" s="325" t="s">
        <v>25</v>
      </c>
      <c r="B91" s="326"/>
      <c r="C91" s="327">
        <f>AVERAGE(C75,C80,C85,C90)</f>
        <v>127.263125</v>
      </c>
      <c r="D91" s="327">
        <f t="shared" ref="D91:J91" si="45">AVERAGE(D75,D80,D85,D90)</f>
        <v>126.43468750000001</v>
      </c>
      <c r="E91" s="327">
        <f t="shared" si="45"/>
        <v>0.45531250000000006</v>
      </c>
      <c r="F91" s="327">
        <f t="shared" si="45"/>
        <v>5.9937499999999998E-2</v>
      </c>
      <c r="G91" s="327">
        <f t="shared" si="45"/>
        <v>3.4437500000000003E-2</v>
      </c>
      <c r="H91" s="327">
        <f t="shared" si="45"/>
        <v>0.27875</v>
      </c>
      <c r="I91" s="327">
        <f t="shared" si="45"/>
        <v>78.116250000000008</v>
      </c>
      <c r="J91" s="327">
        <f t="shared" si="45"/>
        <v>78.489374999999995</v>
      </c>
      <c r="K91" s="328">
        <f t="shared" si="17"/>
        <v>0.38325123636560082</v>
      </c>
    </row>
    <row r="92" spans="1:13" ht="38.25" x14ac:dyDescent="0.25">
      <c r="B92" s="329"/>
      <c r="C92" s="330" t="s">
        <v>139</v>
      </c>
      <c r="D92" s="331"/>
      <c r="E92" s="331"/>
      <c r="F92" s="331"/>
      <c r="G92" s="331"/>
      <c r="H92" s="331"/>
      <c r="I92" s="331"/>
      <c r="J92" s="330" t="s">
        <v>147</v>
      </c>
      <c r="K92" s="330" t="s">
        <v>150</v>
      </c>
      <c r="L92" s="330" t="s">
        <v>88</v>
      </c>
      <c r="M92" s="330" t="s">
        <v>87</v>
      </c>
    </row>
    <row r="93" spans="1:13" x14ac:dyDescent="0.25">
      <c r="B93" s="332" t="s">
        <v>195</v>
      </c>
      <c r="C93" s="333">
        <f>AVERAGE(C71:C72,C76:C77,C81:C82,C86:C87)</f>
        <v>127.52625</v>
      </c>
      <c r="D93" s="333"/>
      <c r="E93" s="333"/>
      <c r="F93" s="333"/>
      <c r="G93" s="333"/>
      <c r="H93" s="333"/>
      <c r="I93" s="333"/>
      <c r="J93" s="333">
        <f t="shared" ref="J93" si="46">AVERAGE(J71:J72,J76:J77,J81:J82,J86:J87)</f>
        <v>80.257875000000013</v>
      </c>
      <c r="K93" s="334">
        <f>AVERAGE(K71:K72,K76:K77,K81:K82,K86:K87)</f>
        <v>0.3703390314589361</v>
      </c>
      <c r="L93" s="335">
        <f>MIN($K71:$K72,$K76:$K77,$K81:$K82,$K86:$K87)</f>
        <v>0.2812943962115233</v>
      </c>
      <c r="M93" s="335">
        <f>MAX($K71:$K72,$K76:$K77,$K81:$K82,$K86:$K87)</f>
        <v>0.45878693623639194</v>
      </c>
    </row>
    <row r="94" spans="1:13" x14ac:dyDescent="0.25">
      <c r="B94" s="332" t="s">
        <v>196</v>
      </c>
      <c r="C94" s="333">
        <f>AVERAGE(C73:C74,C78:C79,C83:C84,C88:C89)</f>
        <v>127</v>
      </c>
      <c r="D94" s="333"/>
      <c r="E94" s="333"/>
      <c r="F94" s="333"/>
      <c r="G94" s="333"/>
      <c r="H94" s="333"/>
      <c r="I94" s="333"/>
      <c r="J94" s="333">
        <f t="shared" ref="J94:K94" si="47">AVERAGE(J73:J74,J78:J79,J83:J84,J88:J89)</f>
        <v>76.720875000000007</v>
      </c>
      <c r="K94" s="334">
        <f t="shared" si="47"/>
        <v>0.39551394272628215</v>
      </c>
      <c r="L94" s="335">
        <f>MIN($K73:$K74,$K78:$K79,$K83:$K84,$K88:$K89)</f>
        <v>0.33467897271268066</v>
      </c>
      <c r="M94" s="335">
        <f>MAX($K73:$K74,$K78:$K79,$K83:$K84,$K88:$K89)</f>
        <v>0.47388001860176726</v>
      </c>
    </row>
    <row r="95" spans="1:13" x14ac:dyDescent="0.25">
      <c r="J95" t="s">
        <v>197</v>
      </c>
      <c r="L95" s="336">
        <f>MIN(K71:K74,K76:K79,K81:K84,K86:K89)</f>
        <v>0.2812943962115233</v>
      </c>
      <c r="M95" s="39">
        <f>MAX(K71:K74,K76:K79,K81:K84,K86:K89)</f>
        <v>0.47388001860176726</v>
      </c>
    </row>
    <row r="96" spans="1:13" x14ac:dyDescent="0.25">
      <c r="B96" t="s">
        <v>198</v>
      </c>
      <c r="C96" s="337">
        <f>AVERAGE(C71,C73,C76,C78,C81,C83,C86,C88)</f>
        <v>126.80374999999999</v>
      </c>
      <c r="J96" s="337">
        <f>AVERAGE(J71,J73,J76,J78,J81,J83,J86,J88)</f>
        <v>78.671875</v>
      </c>
      <c r="K96" s="276">
        <f>AVERAGE(K71,K73,K76,K78,K81,K83,K86,K88)</f>
        <v>0.37925238247129778</v>
      </c>
    </row>
    <row r="97" spans="2:11" x14ac:dyDescent="0.25">
      <c r="B97" t="s">
        <v>199</v>
      </c>
      <c r="C97" s="337">
        <f>AVERAGE(C72,C74,C77,C79,C82,C84,C87,C89)</f>
        <v>127.72250000000001</v>
      </c>
      <c r="J97" s="337">
        <f>AVERAGE(J72,J74,J77,J79,J82,J84,J87,J89)</f>
        <v>78.306875000000005</v>
      </c>
      <c r="K97" s="276">
        <f>AVERAGE(K72,K74,K77,K79,K82,K84,K87,K89)</f>
        <v>0.38660059171392058</v>
      </c>
    </row>
  </sheetData>
  <mergeCells count="16">
    <mergeCell ref="A2:A17"/>
    <mergeCell ref="A18:A35"/>
    <mergeCell ref="A36:A51"/>
    <mergeCell ref="A52:A67"/>
    <mergeCell ref="A69:A70"/>
    <mergeCell ref="D69:D70"/>
    <mergeCell ref="E69:H69"/>
    <mergeCell ref="I69:I70"/>
    <mergeCell ref="J69:J70"/>
    <mergeCell ref="K69:K70"/>
    <mergeCell ref="A71:A75"/>
    <mergeCell ref="A76:A80"/>
    <mergeCell ref="A81:A85"/>
    <mergeCell ref="A86:A90"/>
    <mergeCell ref="C69:C70"/>
    <mergeCell ref="B69:B70"/>
  </mergeCells>
  <pageMargins left="0.23622047244094491" right="0.23622047244094491" top="0.35433070866141736" bottom="0.35433070866141736" header="0.31496062992125984" footer="0.31496062992125984"/>
  <pageSetup paperSize="8" scale="7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5"/>
  <sheetViews>
    <sheetView workbookViewId="0">
      <selection sqref="A1:J65"/>
    </sheetView>
  </sheetViews>
  <sheetFormatPr baseColWidth="10" defaultRowHeight="15" x14ac:dyDescent="0.25"/>
  <cols>
    <col min="2" max="2" width="29.28515625" customWidth="1"/>
  </cols>
  <sheetData>
    <row r="1" spans="1:10" s="1" customFormat="1" ht="12.75" x14ac:dyDescent="0.2"/>
    <row r="2" spans="1:10" s="1" customFormat="1" ht="15.75" x14ac:dyDescent="0.25">
      <c r="A2" s="1" t="s">
        <v>0</v>
      </c>
      <c r="B2" s="582" t="str">
        <f>'[2]F 1 _ Echant et Séchage'!D5</f>
        <v>ISS-E15-PB-PAR</v>
      </c>
      <c r="C2" s="582"/>
      <c r="D2" s="582"/>
      <c r="E2" s="582"/>
      <c r="F2" s="582"/>
      <c r="G2" s="2"/>
      <c r="H2" s="2"/>
      <c r="I2" s="2"/>
      <c r="J2" s="2"/>
    </row>
    <row r="3" spans="1:10" s="1" customFormat="1" ht="12.75" x14ac:dyDescent="0.2">
      <c r="A3" s="1" t="s">
        <v>1</v>
      </c>
      <c r="B3" s="589" t="str">
        <f>'[2]F 1 _ Echant et Séchage'!D6</f>
        <v>AX 233 XP - PARIS 7E</v>
      </c>
      <c r="C3" s="589"/>
      <c r="D3" s="589"/>
      <c r="E3" s="589"/>
      <c r="F3" s="589"/>
      <c r="G3" s="3"/>
      <c r="H3" s="3"/>
      <c r="I3" s="3"/>
      <c r="J3" s="3"/>
    </row>
    <row r="4" spans="1:10" s="1" customFormat="1" ht="12.75" x14ac:dyDescent="0.2">
      <c r="A4" s="1" t="s">
        <v>2</v>
      </c>
      <c r="B4" s="249"/>
      <c r="C4" s="249" t="str">
        <f>'[2]F 1 _ Echant et Séchage'!D8</f>
        <v>ISSEANE</v>
      </c>
      <c r="D4" s="249"/>
      <c r="E4" s="249"/>
      <c r="F4" s="249"/>
      <c r="G4" s="3"/>
      <c r="H4" s="3"/>
      <c r="I4" s="3"/>
      <c r="J4" s="3"/>
    </row>
    <row r="5" spans="1:10" s="1" customFormat="1" ht="12.75" x14ac:dyDescent="0.2">
      <c r="A5" s="1" t="s">
        <v>3</v>
      </c>
      <c r="B5" s="249"/>
      <c r="C5" s="249" t="str">
        <f>'[2]F 1 _ Echant et Séchage'!E15</f>
        <v>sec, ensoleillé</v>
      </c>
      <c r="D5" s="249"/>
      <c r="E5" s="249"/>
      <c r="F5" s="249"/>
      <c r="G5" s="3"/>
      <c r="H5" s="3"/>
      <c r="I5" s="3"/>
      <c r="J5" s="3"/>
    </row>
    <row r="6" spans="1:10" s="1" customFormat="1" ht="12.75" customHeight="1" x14ac:dyDescent="0.2"/>
    <row r="7" spans="1:10" s="1" customFormat="1" ht="18.75" customHeight="1" x14ac:dyDescent="0.2">
      <c r="A7" s="584" t="s">
        <v>4</v>
      </c>
      <c r="B7" s="584"/>
      <c r="C7" s="584"/>
      <c r="D7" s="584"/>
      <c r="E7" s="584"/>
      <c r="F7" s="584"/>
      <c r="G7" s="584"/>
      <c r="H7" s="584"/>
      <c r="I7" s="584"/>
      <c r="J7" s="584"/>
    </row>
    <row r="8" spans="1:10" s="1" customFormat="1" ht="12.75" x14ac:dyDescent="0.2">
      <c r="I8" s="4"/>
    </row>
    <row r="9" spans="1:10" s="1" customFormat="1" ht="12.75" x14ac:dyDescent="0.2">
      <c r="A9" s="1" t="s">
        <v>5</v>
      </c>
      <c r="B9" s="5">
        <f>'[2]F 1 _ Echant et Séchage'!B12</f>
        <v>42194</v>
      </c>
      <c r="D9" s="583" t="s">
        <v>6</v>
      </c>
      <c r="E9" s="583"/>
      <c r="F9" s="583"/>
      <c r="G9" s="6">
        <f>'[2]F 1 _ Echant et Séchage'!G19</f>
        <v>126.80000000000001</v>
      </c>
      <c r="H9" s="6"/>
      <c r="I9" s="7"/>
      <c r="J9" s="1" t="s">
        <v>7</v>
      </c>
    </row>
    <row r="10" spans="1:10" s="1" customFormat="1" ht="12.75" x14ac:dyDescent="0.2">
      <c r="A10" s="1" t="s">
        <v>8</v>
      </c>
      <c r="B10" s="8" t="str">
        <f>'[2]F 1 _ Echant et Séchage'!E12</f>
        <v>18H30</v>
      </c>
      <c r="D10" s="583" t="s">
        <v>9</v>
      </c>
      <c r="E10" s="583"/>
      <c r="F10" s="583"/>
      <c r="G10" s="249">
        <f>'[2]F 1 _ Echant et Séchage'!H26</f>
        <v>0.45</v>
      </c>
      <c r="H10" s="249"/>
      <c r="I10" s="9"/>
      <c r="J10" s="1" t="s">
        <v>10</v>
      </c>
    </row>
    <row r="11" spans="1:10" s="1" customFormat="1" ht="12.75" x14ac:dyDescent="0.2">
      <c r="B11" s="583"/>
      <c r="C11" s="583"/>
      <c r="D11" s="583" t="s">
        <v>11</v>
      </c>
      <c r="E11" s="583"/>
      <c r="F11" s="583"/>
      <c r="G11" s="10">
        <f>G9/1000/G10</f>
        <v>0.28177777777777785</v>
      </c>
      <c r="H11" s="10"/>
      <c r="I11" s="3"/>
      <c r="J11" s="3" t="s">
        <v>12</v>
      </c>
    </row>
    <row r="12" spans="1:10" s="1" customFormat="1" ht="12.75" x14ac:dyDescent="0.2">
      <c r="B12" s="7"/>
      <c r="D12" s="583" t="s">
        <v>13</v>
      </c>
      <c r="E12" s="583"/>
      <c r="F12" s="583"/>
      <c r="G12" s="236">
        <f>'[2]F 1 _ Echant et Séchage'!D51</f>
        <v>0.36735015772870672</v>
      </c>
      <c r="H12" s="11"/>
      <c r="I12" s="11"/>
    </row>
    <row r="13" spans="1:10" s="1" customFormat="1" ht="12.75" x14ac:dyDescent="0.2">
      <c r="B13" s="12"/>
      <c r="G13" s="234"/>
      <c r="H13" s="234"/>
      <c r="I13" s="234"/>
    </row>
    <row r="14" spans="1:10" s="1" customFormat="1" ht="18.75" customHeight="1" x14ac:dyDescent="0.2">
      <c r="A14" s="584" t="s">
        <v>14</v>
      </c>
      <c r="B14" s="584"/>
      <c r="C14" s="584"/>
      <c r="D14" s="584"/>
      <c r="E14" s="584"/>
      <c r="F14" s="584"/>
      <c r="G14" s="584"/>
      <c r="H14" s="584"/>
      <c r="I14" s="584"/>
      <c r="J14" s="584"/>
    </row>
    <row r="15" spans="1:10" s="1" customFormat="1" ht="15.75" customHeight="1" x14ac:dyDescent="0.2">
      <c r="A15" s="13"/>
      <c r="B15" s="13"/>
      <c r="C15" s="13"/>
      <c r="D15" s="13"/>
      <c r="E15" s="13"/>
      <c r="F15" s="13"/>
      <c r="G15" s="13"/>
      <c r="H15" s="13"/>
      <c r="I15" s="13"/>
      <c r="J15" s="13"/>
    </row>
    <row r="16" spans="1:10" s="1" customFormat="1" ht="27.75" customHeight="1" thickBot="1" x14ac:dyDescent="0.25">
      <c r="C16" s="14" t="s">
        <v>15</v>
      </c>
      <c r="D16" s="15"/>
      <c r="E16" s="15"/>
      <c r="F16" s="15"/>
      <c r="G16" s="585" t="s">
        <v>16</v>
      </c>
      <c r="H16" s="587" t="s">
        <v>17</v>
      </c>
      <c r="I16" s="585" t="s">
        <v>18</v>
      </c>
      <c r="J16" s="587" t="s">
        <v>19</v>
      </c>
    </row>
    <row r="17" spans="1:10" s="1" customFormat="1" ht="29.25" customHeight="1" thickBot="1" x14ac:dyDescent="0.25">
      <c r="A17" s="138" t="s">
        <v>20</v>
      </c>
      <c r="B17" s="139" t="s">
        <v>21</v>
      </c>
      <c r="C17" s="16" t="s">
        <v>22</v>
      </c>
      <c r="D17" s="16" t="s">
        <v>23</v>
      </c>
      <c r="E17" s="16" t="s">
        <v>24</v>
      </c>
      <c r="F17" s="17" t="s">
        <v>25</v>
      </c>
      <c r="G17" s="586"/>
      <c r="H17" s="588"/>
      <c r="I17" s="586"/>
      <c r="J17" s="588"/>
    </row>
    <row r="18" spans="1:10" s="1" customFormat="1" ht="15" customHeight="1" x14ac:dyDescent="0.2">
      <c r="A18" s="579" t="s">
        <v>26</v>
      </c>
      <c r="B18" s="18" t="s">
        <v>119</v>
      </c>
      <c r="C18" s="19">
        <f>'[2]F 4 TRI _ Granulo'!K5</f>
        <v>1.6216666666666668</v>
      </c>
      <c r="D18" s="20">
        <f>'[2]F 4 TRI _ Granulo'!H5</f>
        <v>0.99000000000000021</v>
      </c>
      <c r="E18" s="20">
        <f>'[2]F 4 TRI _ Granulo'!E5</f>
        <v>0</v>
      </c>
      <c r="F18" s="20">
        <f>SUM(C18:E18)</f>
        <v>2.6116666666666672</v>
      </c>
      <c r="G18" s="21">
        <f t="shared" ref="G18:G64" si="0">F18/$F$64</f>
        <v>3.2709152801631822E-2</v>
      </c>
      <c r="H18" s="21">
        <f>G18*J18/I18</f>
        <v>6.8913027826501175E-2</v>
      </c>
      <c r="I18" s="578">
        <f>G18+G19+G20+G21+G22</f>
        <v>0.1221514648774252</v>
      </c>
      <c r="J18" s="578">
        <f>'[2]Calcul sous cat &gt;20'!N8/100</f>
        <v>0.25735387734426213</v>
      </c>
    </row>
    <row r="19" spans="1:10" s="1" customFormat="1" ht="15" customHeight="1" x14ac:dyDescent="0.2">
      <c r="A19" s="580"/>
      <c r="B19" s="18" t="s">
        <v>27</v>
      </c>
      <c r="C19" s="19">
        <f>'[2]F 4 TRI _ Granulo'!K6</f>
        <v>6.0326000000000013</v>
      </c>
      <c r="D19" s="20">
        <f>'[2]F 4 TRI _ Granulo'!H6</f>
        <v>0.51000000000000023</v>
      </c>
      <c r="E19" s="20">
        <f>'[2]F 4 TRI _ Granulo'!E6</f>
        <v>0</v>
      </c>
      <c r="F19" s="20">
        <f>SUM(C19:E19)</f>
        <v>6.542600000000002</v>
      </c>
      <c r="G19" s="21">
        <f t="shared" si="0"/>
        <v>8.1941124359906706E-2</v>
      </c>
      <c r="H19" s="21">
        <f>G19*J18/I18</f>
        <v>0.17263702968385444</v>
      </c>
      <c r="I19" s="578"/>
      <c r="J19" s="578"/>
    </row>
    <row r="20" spans="1:10" s="1" customFormat="1" ht="15" customHeight="1" x14ac:dyDescent="0.2">
      <c r="A20" s="580"/>
      <c r="B20" s="18" t="s">
        <v>28</v>
      </c>
      <c r="C20" s="19">
        <f>'[2]F 4 TRI _ Granulo'!K7</f>
        <v>0</v>
      </c>
      <c r="D20" s="20">
        <f>'[2]F 4 TRI _ Granulo'!H7</f>
        <v>0</v>
      </c>
      <c r="E20" s="20">
        <f>'[2]F 4 TRI _ Granulo'!E7</f>
        <v>0</v>
      </c>
      <c r="F20" s="20">
        <f t="shared" ref="F20:F62" si="1">SUM(C20:E20)</f>
        <v>0</v>
      </c>
      <c r="G20" s="21">
        <f t="shared" si="0"/>
        <v>0</v>
      </c>
      <c r="H20" s="21">
        <f>G20*J18/I18</f>
        <v>0</v>
      </c>
      <c r="I20" s="578"/>
      <c r="J20" s="578"/>
    </row>
    <row r="21" spans="1:10" s="1" customFormat="1" ht="15" customHeight="1" x14ac:dyDescent="0.2">
      <c r="A21" s="580"/>
      <c r="B21" s="18" t="s">
        <v>29</v>
      </c>
      <c r="C21" s="19">
        <f>'[2]F 4 TRI _ Granulo'!K8</f>
        <v>0.19460000000000019</v>
      </c>
      <c r="D21" s="20">
        <f>'[2]F 4 TRI _ Granulo'!H8</f>
        <v>7.0000000000000062E-2</v>
      </c>
      <c r="E21" s="20">
        <f>'[2]F 4 TRI _ Granulo'!E8</f>
        <v>0</v>
      </c>
      <c r="F21" s="20">
        <f t="shared" si="1"/>
        <v>0.26460000000000028</v>
      </c>
      <c r="G21" s="21">
        <f t="shared" si="0"/>
        <v>3.313915187483773E-3</v>
      </c>
      <c r="H21" s="21">
        <f>G21*J18/I18</f>
        <v>6.9818968077443111E-3</v>
      </c>
      <c r="I21" s="578"/>
      <c r="J21" s="578"/>
    </row>
    <row r="22" spans="1:10" s="1" customFormat="1" ht="15" customHeight="1" x14ac:dyDescent="0.2">
      <c r="A22" s="581"/>
      <c r="B22" s="18" t="s">
        <v>30</v>
      </c>
      <c r="C22" s="19">
        <f>'[2]F 4 TRI _ Granulo'!K9</f>
        <v>0.32433333333333364</v>
      </c>
      <c r="D22" s="20">
        <f>'[2]F 4 TRI _ Granulo'!H9</f>
        <v>1.0000000000000009E-2</v>
      </c>
      <c r="E22" s="20">
        <f>'[2]F 4 TRI _ Granulo'!E9</f>
        <v>0</v>
      </c>
      <c r="F22" s="20">
        <f t="shared" si="1"/>
        <v>0.33433333333333365</v>
      </c>
      <c r="G22" s="21">
        <f t="shared" si="0"/>
        <v>4.1872725284029019E-3</v>
      </c>
      <c r="H22" s="21">
        <f>G22*J18/I18</f>
        <v>8.8219230261621841E-3</v>
      </c>
      <c r="I22" s="578"/>
      <c r="J22" s="578"/>
    </row>
    <row r="23" spans="1:10" s="1" customFormat="1" ht="15" customHeight="1" x14ac:dyDescent="0.2">
      <c r="A23" s="567" t="s">
        <v>31</v>
      </c>
      <c r="B23" s="18" t="s">
        <v>32</v>
      </c>
      <c r="C23" s="19">
        <f>'[2]F 4 TRI _ Granulo'!K10</f>
        <v>6.4866666666666725E-2</v>
      </c>
      <c r="D23" s="20">
        <f>'[2]F 4 TRI _ Granulo'!H10</f>
        <v>7.0000000000000062E-2</v>
      </c>
      <c r="E23" s="20">
        <f>'[2]F 4 TRI _ Granulo'!E10</f>
        <v>0</v>
      </c>
      <c r="F23" s="20">
        <f t="shared" si="1"/>
        <v>0.1348666666666668</v>
      </c>
      <c r="G23" s="21">
        <f t="shared" si="0"/>
        <v>1.6891031555252387E-3</v>
      </c>
      <c r="H23" s="21">
        <f>'[2]Calcul sous cat &gt;20'!N32/100</f>
        <v>1.490998077469455E-3</v>
      </c>
      <c r="I23" s="571">
        <f>G23+G24+G25+G26+G27</f>
        <v>8.8614876965993322E-2</v>
      </c>
      <c r="J23" s="571">
        <f>'[2]Calcul sous cat &gt;20'!N9/100</f>
        <v>7.6547687569310408E-2</v>
      </c>
    </row>
    <row r="24" spans="1:10" s="1" customFormat="1" ht="15" customHeight="1" x14ac:dyDescent="0.2">
      <c r="A24" s="568"/>
      <c r="B24" s="18" t="s">
        <v>33</v>
      </c>
      <c r="C24" s="19">
        <f>'[2]F 4 TRI _ Granulo'!K11</f>
        <v>0</v>
      </c>
      <c r="D24" s="20">
        <f>'[2]F 4 TRI _ Granulo'!H11</f>
        <v>2.69</v>
      </c>
      <c r="E24" s="20">
        <f>'[2]F 4 TRI _ Granulo'!E11</f>
        <v>0</v>
      </c>
      <c r="F24" s="20">
        <f t="shared" si="1"/>
        <v>2.69</v>
      </c>
      <c r="G24" s="21">
        <f t="shared" si="0"/>
        <v>3.3690218648266587E-2</v>
      </c>
      <c r="H24" s="21">
        <f>'[2]Calcul sous cat &gt;20'!N33/100</f>
        <v>2.8774335884810556E-2</v>
      </c>
      <c r="I24" s="571"/>
      <c r="J24" s="571"/>
    </row>
    <row r="25" spans="1:10" s="1" customFormat="1" ht="15" customHeight="1" x14ac:dyDescent="0.2">
      <c r="A25" s="568"/>
      <c r="B25" s="18" t="s">
        <v>34</v>
      </c>
      <c r="C25" s="19">
        <f>'[2]F 4 TRI _ Granulo'!K12</f>
        <v>0.32433333333333364</v>
      </c>
      <c r="D25" s="20">
        <f>'[2]F 4 TRI _ Granulo'!H12</f>
        <v>0.71</v>
      </c>
      <c r="E25" s="20">
        <f>'[2]F 4 TRI _ Granulo'!E12</f>
        <v>0</v>
      </c>
      <c r="F25" s="20">
        <f t="shared" si="1"/>
        <v>1.0343333333333335</v>
      </c>
      <c r="G25" s="21">
        <f t="shared" si="0"/>
        <v>1.2954243923862609E-2</v>
      </c>
      <c r="H25" s="21">
        <f>'[2]Calcul sous cat &gt;20'!N34/100</f>
        <v>1.1064035223118614E-2</v>
      </c>
      <c r="I25" s="571"/>
      <c r="J25" s="571"/>
    </row>
    <row r="26" spans="1:10" s="1" customFormat="1" ht="15" customHeight="1" x14ac:dyDescent="0.2">
      <c r="A26" s="568"/>
      <c r="B26" s="18" t="s">
        <v>35</v>
      </c>
      <c r="C26" s="19">
        <f>'[2]F 4 TRI _ Granulo'!K13</f>
        <v>0.45406666666666706</v>
      </c>
      <c r="D26" s="20">
        <f>'[2]F 4 TRI _ Granulo'!H13</f>
        <v>0.71</v>
      </c>
      <c r="E26" s="20">
        <f>'[2]F 4 TRI _ Granulo'!E13</f>
        <v>0</v>
      </c>
      <c r="F26" s="20">
        <f t="shared" si="1"/>
        <v>1.164066666666667</v>
      </c>
      <c r="G26" s="21">
        <f t="shared" si="0"/>
        <v>1.4579055955821143E-2</v>
      </c>
      <c r="H26" s="21">
        <f>'[2]Calcul sous cat &gt;20'!N35/100</f>
        <v>1.257675332703927E-2</v>
      </c>
      <c r="I26" s="571"/>
      <c r="J26" s="571"/>
    </row>
    <row r="27" spans="1:10" s="1" customFormat="1" ht="15" customHeight="1" x14ac:dyDescent="0.2">
      <c r="A27" s="570"/>
      <c r="B27" s="18" t="s">
        <v>36</v>
      </c>
      <c r="C27" s="19">
        <f>'[2]F 4 TRI _ Granulo'!K14</f>
        <v>1.3622000000000014</v>
      </c>
      <c r="D27" s="20">
        <f>'[2]F 4 TRI _ Granulo'!H14</f>
        <v>0.69</v>
      </c>
      <c r="E27" s="20">
        <f>'[2]F 4 TRI _ Granulo'!E14</f>
        <v>0</v>
      </c>
      <c r="F27" s="20">
        <f t="shared" si="1"/>
        <v>2.0522000000000014</v>
      </c>
      <c r="G27" s="21">
        <f t="shared" si="0"/>
        <v>2.5702255282517749E-2</v>
      </c>
      <c r="H27" s="21">
        <f>'[2]Calcul sous cat &gt;20'!N36/100</f>
        <v>2.2641565056872506E-2</v>
      </c>
      <c r="I27" s="571"/>
      <c r="J27" s="571"/>
    </row>
    <row r="28" spans="1:10" s="1" customFormat="1" ht="15" customHeight="1" x14ac:dyDescent="0.2">
      <c r="A28" s="567" t="s">
        <v>37</v>
      </c>
      <c r="B28" s="18" t="s">
        <v>38</v>
      </c>
      <c r="C28" s="19">
        <f>'[2]F 4 TRI _ Granulo'!K15</f>
        <v>1.8811333333333335</v>
      </c>
      <c r="D28" s="20">
        <f>'[2]F 4 TRI _ Granulo'!H15</f>
        <v>0.5900000000000003</v>
      </c>
      <c r="E28" s="20">
        <f>'[2]F 4 TRI _ Granulo'!E15</f>
        <v>0</v>
      </c>
      <c r="F28" s="20">
        <f t="shared" si="1"/>
        <v>2.4711333333333338</v>
      </c>
      <c r="G28" s="21">
        <f t="shared" si="0"/>
        <v>3.0949078925286193E-2</v>
      </c>
      <c r="H28" s="21">
        <f>'[2]Calcul sous cat &gt;20'!N37/100</f>
        <v>2.664715781020011E-2</v>
      </c>
      <c r="I28" s="571">
        <f>G28+G29+G30</f>
        <v>7.1250428955386122E-2</v>
      </c>
      <c r="J28" s="571">
        <f>'[2]Calcul sous cat &gt;20'!N10/100</f>
        <v>6.1554116451049738E-2</v>
      </c>
    </row>
    <row r="29" spans="1:10" s="1" customFormat="1" ht="15" customHeight="1" x14ac:dyDescent="0.2">
      <c r="A29" s="568"/>
      <c r="B29" s="18" t="s">
        <v>39</v>
      </c>
      <c r="C29" s="19">
        <f>'[2]F 4 TRI _ Granulo'!K16</f>
        <v>0.32433333333333364</v>
      </c>
      <c r="D29" s="20">
        <f>'[2]F 4 TRI _ Granulo'!H16</f>
        <v>0.75</v>
      </c>
      <c r="E29" s="20">
        <f>'[2]F 4 TRI _ Granulo'!E16</f>
        <v>1.3</v>
      </c>
      <c r="F29" s="20">
        <f t="shared" si="1"/>
        <v>2.3743333333333334</v>
      </c>
      <c r="G29" s="21">
        <f t="shared" si="0"/>
        <v>2.9736732023742617E-2</v>
      </c>
      <c r="H29" s="21">
        <f>'[2]Calcul sous cat &gt;20'!N38/100</f>
        <v>2.5618124240858842E-2</v>
      </c>
      <c r="I29" s="571"/>
      <c r="J29" s="571"/>
    </row>
    <row r="30" spans="1:10" s="1" customFormat="1" ht="15" customHeight="1" x14ac:dyDescent="0.2">
      <c r="A30" s="570"/>
      <c r="B30" s="18" t="s">
        <v>40</v>
      </c>
      <c r="C30" s="19">
        <f>'[2]F 4 TRI _ Granulo'!K17</f>
        <v>0.71353333333333391</v>
      </c>
      <c r="D30" s="20">
        <f>'[2]F 4 TRI _ Granulo'!H17</f>
        <v>0.13000000000000012</v>
      </c>
      <c r="E30" s="20">
        <f>'[2]F 4 TRI _ Granulo'!E17</f>
        <v>0</v>
      </c>
      <c r="F30" s="20">
        <f t="shared" si="1"/>
        <v>0.84353333333333402</v>
      </c>
      <c r="G30" s="21">
        <f t="shared" si="0"/>
        <v>1.0564618006357312E-2</v>
      </c>
      <c r="H30" s="21">
        <f>'[2]Calcul sous cat &gt;20'!N39/100</f>
        <v>9.2888343999907794E-3</v>
      </c>
      <c r="I30" s="571"/>
      <c r="J30" s="571"/>
    </row>
    <row r="31" spans="1:10" s="1" customFormat="1" ht="15" customHeight="1" x14ac:dyDescent="0.2">
      <c r="A31" s="572" t="s">
        <v>41</v>
      </c>
      <c r="B31" s="18" t="s">
        <v>42</v>
      </c>
      <c r="C31" s="19">
        <f>'[2]F 4 TRI _ Granulo'!K18</f>
        <v>0</v>
      </c>
      <c r="D31" s="20">
        <f>'[2]F 4 TRI _ Granulo'!H18</f>
        <v>0.37000000000000011</v>
      </c>
      <c r="E31" s="20">
        <f>'[2]F 4 TRI _ Granulo'!E18</f>
        <v>0</v>
      </c>
      <c r="F31" s="20">
        <f t="shared" si="1"/>
        <v>0.37000000000000011</v>
      </c>
      <c r="G31" s="21">
        <f t="shared" si="0"/>
        <v>4.6339705947429895E-3</v>
      </c>
      <c r="H31" s="243">
        <f>G31*J31/I31</f>
        <v>5.039680532748103E-3</v>
      </c>
      <c r="I31" s="575">
        <f>G31+G32+G33+G34</f>
        <v>9.7012800613187049E-3</v>
      </c>
      <c r="J31" s="575">
        <f>'[2]Calcul sous cat &gt;20'!N11/100</f>
        <v>1.055063929909914E-2</v>
      </c>
    </row>
    <row r="32" spans="1:10" s="1" customFormat="1" ht="15" customHeight="1" x14ac:dyDescent="0.2">
      <c r="A32" s="573"/>
      <c r="B32" s="18" t="s">
        <v>43</v>
      </c>
      <c r="C32" s="19">
        <f>'[2]F 4 TRI _ Granulo'!K19</f>
        <v>0.19460000000000019</v>
      </c>
      <c r="D32" s="20">
        <f>'[2]F 4 TRI _ Granulo'!H19</f>
        <v>0.21000000000000019</v>
      </c>
      <c r="E32" s="20">
        <f>'[2]F 4 TRI _ Granulo'!E19</f>
        <v>0</v>
      </c>
      <c r="F32" s="20">
        <f t="shared" si="1"/>
        <v>0.4046000000000004</v>
      </c>
      <c r="G32" s="21">
        <f t="shared" si="0"/>
        <v>5.0673094665757154E-3</v>
      </c>
      <c r="H32" s="243">
        <f>G32*J31/I31</f>
        <v>5.5109587663510371E-3</v>
      </c>
      <c r="I32" s="576"/>
      <c r="J32" s="576"/>
    </row>
    <row r="33" spans="1:10" s="1" customFormat="1" ht="15" customHeight="1" x14ac:dyDescent="0.2">
      <c r="A33" s="573"/>
      <c r="B33" s="18" t="s">
        <v>44</v>
      </c>
      <c r="C33" s="19">
        <f>'[2]F 4 TRI _ Granulo'!K20</f>
        <v>0</v>
      </c>
      <c r="D33" s="20">
        <f>'[2]F 4 TRI _ Granulo'!H20</f>
        <v>0</v>
      </c>
      <c r="E33" s="20">
        <f>'[2]F 4 TRI _ Granulo'!E20</f>
        <v>0</v>
      </c>
      <c r="F33" s="20">
        <f t="shared" si="1"/>
        <v>0</v>
      </c>
      <c r="G33" s="21">
        <f t="shared" si="0"/>
        <v>0</v>
      </c>
      <c r="H33" s="243">
        <f>G33*J31/I31</f>
        <v>0</v>
      </c>
      <c r="I33" s="576"/>
      <c r="J33" s="576"/>
    </row>
    <row r="34" spans="1:10" s="1" customFormat="1" ht="15" customHeight="1" x14ac:dyDescent="0.2">
      <c r="A34" s="574"/>
      <c r="B34" s="18" t="s">
        <v>120</v>
      </c>
      <c r="C34" s="19">
        <f>'[2]F 4 TRI _ Granulo'!K21</f>
        <v>0</v>
      </c>
      <c r="D34" s="20">
        <f>'[2]F 4 TRI _ Granulo'!H21</f>
        <v>0</v>
      </c>
      <c r="E34" s="20">
        <f>'[2]F 4 TRI _ Granulo'!E21</f>
        <v>0</v>
      </c>
      <c r="F34" s="20">
        <f t="shared" si="1"/>
        <v>0</v>
      </c>
      <c r="G34" s="21">
        <f t="shared" si="0"/>
        <v>0</v>
      </c>
      <c r="H34" s="243">
        <f>G34*J31/I31</f>
        <v>0</v>
      </c>
      <c r="I34" s="577"/>
      <c r="J34" s="577"/>
    </row>
    <row r="35" spans="1:10" s="1" customFormat="1" ht="15" customHeight="1" x14ac:dyDescent="0.2">
      <c r="A35" s="245" t="s">
        <v>45</v>
      </c>
      <c r="B35" s="18" t="s">
        <v>46</v>
      </c>
      <c r="C35" s="19">
        <f>'[2]F 4 TRI _ Granulo'!K22</f>
        <v>0.71353333333333391</v>
      </c>
      <c r="D35" s="20">
        <f>'[2]F 4 TRI _ Granulo'!H22</f>
        <v>0.71</v>
      </c>
      <c r="E35" s="20">
        <f>'[2]F 4 TRI _ Granulo'!E22</f>
        <v>1.5</v>
      </c>
      <c r="F35" s="20">
        <f t="shared" si="1"/>
        <v>2.9235333333333338</v>
      </c>
      <c r="G35" s="21">
        <f t="shared" si="0"/>
        <v>3.6615047295723298E-2</v>
      </c>
      <c r="H35" s="21">
        <f>'[2]Calcul sous cat &gt;20'!N43/100</f>
        <v>3.1610304723558684E-2</v>
      </c>
      <c r="I35" s="246">
        <f>G35</f>
        <v>3.6615047295723298E-2</v>
      </c>
      <c r="J35" s="246">
        <f>'[2]Calcul sous cat &gt;20'!N12/100</f>
        <v>3.1610304723558684E-2</v>
      </c>
    </row>
    <row r="36" spans="1:10" s="1" customFormat="1" ht="15" customHeight="1" x14ac:dyDescent="0.2">
      <c r="A36" s="567" t="s">
        <v>47</v>
      </c>
      <c r="B36" s="18" t="s">
        <v>48</v>
      </c>
      <c r="C36" s="19">
        <f>'[2]F 4 TRI _ Granulo'!K23</f>
        <v>6.2920666666666678</v>
      </c>
      <c r="D36" s="20">
        <f>'[2]F 4 TRI _ Granulo'!H23</f>
        <v>1.37</v>
      </c>
      <c r="E36" s="20">
        <f>'[2]F 4 TRI _ Granulo'!E23</f>
        <v>0</v>
      </c>
      <c r="F36" s="20">
        <f t="shared" si="1"/>
        <v>7.6620666666666679</v>
      </c>
      <c r="G36" s="21">
        <f t="shared" si="0"/>
        <v>9.5961598995388545E-2</v>
      </c>
      <c r="H36" s="21">
        <f>'[2]Calcul sous cat &gt;20'!N44/100</f>
        <v>8.5382260853710687E-2</v>
      </c>
      <c r="I36" s="571">
        <f>G36+G37</f>
        <v>0.15252860328786472</v>
      </c>
      <c r="J36" s="571">
        <f>'[2]Calcul sous cat &gt;20'!N13/100</f>
        <v>0.13523560258261563</v>
      </c>
    </row>
    <row r="37" spans="1:10" s="1" customFormat="1" ht="15" customHeight="1" x14ac:dyDescent="0.2">
      <c r="A37" s="570"/>
      <c r="B37" s="18" t="s">
        <v>49</v>
      </c>
      <c r="C37" s="19">
        <f>'[2]F 4 TRI _ Granulo'!K24</f>
        <v>4.0865999999999998</v>
      </c>
      <c r="D37" s="20">
        <f>'[2]F 4 TRI _ Granulo'!H24</f>
        <v>0.43000000000000016</v>
      </c>
      <c r="E37" s="20">
        <f>'[2]F 4 TRI _ Granulo'!E24</f>
        <v>0</v>
      </c>
      <c r="F37" s="20">
        <f t="shared" si="1"/>
        <v>4.5166000000000004</v>
      </c>
      <c r="G37" s="21">
        <f t="shared" si="0"/>
        <v>5.6567004292476165E-2</v>
      </c>
      <c r="H37" s="21">
        <f>'[2]Calcul sous cat &gt;20'!N45/100</f>
        <v>4.9853341728904946E-2</v>
      </c>
      <c r="I37" s="571"/>
      <c r="J37" s="571"/>
    </row>
    <row r="38" spans="1:10" s="1" customFormat="1" ht="15" customHeight="1" x14ac:dyDescent="0.2">
      <c r="A38" s="567" t="s">
        <v>50</v>
      </c>
      <c r="B38" s="18" t="s">
        <v>51</v>
      </c>
      <c r="C38" s="19">
        <f>'[2]F 4 TRI _ Granulo'!K25</f>
        <v>3.3082000000000016</v>
      </c>
      <c r="D38" s="20">
        <f>'[2]F 4 TRI _ Granulo'!H25</f>
        <v>5.5500000000000007</v>
      </c>
      <c r="E38" s="20">
        <f>'[2]F 4 TRI _ Granulo'!E25</f>
        <v>0</v>
      </c>
      <c r="F38" s="20">
        <f t="shared" si="1"/>
        <v>8.8582000000000019</v>
      </c>
      <c r="G38" s="21">
        <f t="shared" si="0"/>
        <v>0.11094226573608743</v>
      </c>
      <c r="H38" s="21">
        <f>'[2]Calcul sous cat &gt;20'!N46/100</f>
        <v>0.10929856705213759</v>
      </c>
      <c r="I38" s="571">
        <f>G38+G39+G40+G41+G42</f>
        <v>0.20939785935607008</v>
      </c>
      <c r="J38" s="571">
        <f>'[2]Calcul sous cat &gt;20'!N14/100</f>
        <v>0.20394806056663919</v>
      </c>
    </row>
    <row r="39" spans="1:10" s="1" customFormat="1" ht="15" customHeight="1" x14ac:dyDescent="0.2">
      <c r="A39" s="568"/>
      <c r="B39" s="18" t="s">
        <v>52</v>
      </c>
      <c r="C39" s="19">
        <f>'[2]F 4 TRI _ Granulo'!K26</f>
        <v>0.71353333333333391</v>
      </c>
      <c r="D39" s="20">
        <f>'[2]F 4 TRI _ Granulo'!H26</f>
        <v>0.69</v>
      </c>
      <c r="E39" s="20">
        <f>'[2]F 4 TRI _ Granulo'!E26</f>
        <v>0</v>
      </c>
      <c r="F39" s="20">
        <f t="shared" si="1"/>
        <v>1.4035333333333337</v>
      </c>
      <c r="G39" s="21">
        <f t="shared" si="0"/>
        <v>1.7578195122725074E-2</v>
      </c>
      <c r="H39" s="21">
        <f>'[2]Calcul sous cat &gt;20'!N47/100</f>
        <v>1.5483589445681867E-2</v>
      </c>
      <c r="I39" s="571"/>
      <c r="J39" s="571"/>
    </row>
    <row r="40" spans="1:10" s="1" customFormat="1" ht="15" customHeight="1" x14ac:dyDescent="0.2">
      <c r="A40" s="568"/>
      <c r="B40" s="18" t="s">
        <v>53</v>
      </c>
      <c r="C40" s="19">
        <f>'[2]F 4 TRI _ Granulo'!K27</f>
        <v>0.32433333333333364</v>
      </c>
      <c r="D40" s="20">
        <f>'[2]F 4 TRI _ Granulo'!H27</f>
        <v>5.0000000000000044E-2</v>
      </c>
      <c r="E40" s="20">
        <f>'[2]F 4 TRI _ Granulo'!E27</f>
        <v>0</v>
      </c>
      <c r="F40" s="20">
        <f t="shared" si="1"/>
        <v>0.37433333333333368</v>
      </c>
      <c r="G40" s="21">
        <f t="shared" si="0"/>
        <v>4.6882423224291715E-3</v>
      </c>
      <c r="H40" s="21">
        <f>'[2]Calcul sous cat &gt;20'!N48/100</f>
        <v>4.1291170809685902E-3</v>
      </c>
      <c r="I40" s="571"/>
      <c r="J40" s="571"/>
    </row>
    <row r="41" spans="1:10" s="1" customFormat="1" ht="15" customHeight="1" x14ac:dyDescent="0.2">
      <c r="A41" s="568"/>
      <c r="B41" s="18" t="s">
        <v>54</v>
      </c>
      <c r="C41" s="19">
        <f>'[2]F 4 TRI _ Granulo'!K28</f>
        <v>1.1027333333333342</v>
      </c>
      <c r="D41" s="20">
        <f>'[2]F 4 TRI _ Granulo'!H28</f>
        <v>0.73</v>
      </c>
      <c r="E41" s="20">
        <f>'[2]F 4 TRI _ Granulo'!E28</f>
        <v>0</v>
      </c>
      <c r="F41" s="20">
        <f t="shared" si="1"/>
        <v>1.8327333333333342</v>
      </c>
      <c r="G41" s="21">
        <f t="shared" si="0"/>
        <v>2.2953601012626945E-2</v>
      </c>
      <c r="H41" s="21">
        <f>'[2]Calcul sous cat &gt;20'!N49/100</f>
        <v>2.2605251200906822E-2</v>
      </c>
      <c r="I41" s="571"/>
      <c r="J41" s="571"/>
    </row>
    <row r="42" spans="1:10" s="1" customFormat="1" ht="27" customHeight="1" x14ac:dyDescent="0.2">
      <c r="A42" s="570"/>
      <c r="B42" s="18" t="s">
        <v>55</v>
      </c>
      <c r="C42" s="19">
        <f>'[2]F 4 TRI _ Granulo'!K29</f>
        <v>2.1406000000000005</v>
      </c>
      <c r="D42" s="20">
        <f>'[2]F 4 TRI _ Granulo'!H29</f>
        <v>0.75</v>
      </c>
      <c r="E42" s="20">
        <f>'[2]F 4 TRI _ Granulo'!E29</f>
        <v>1.36</v>
      </c>
      <c r="F42" s="20">
        <f t="shared" si="1"/>
        <v>4.2506000000000004</v>
      </c>
      <c r="G42" s="21">
        <f t="shared" si="0"/>
        <v>5.3235555162201478E-2</v>
      </c>
      <c r="H42" s="21">
        <f>'[2]Calcul sous cat &gt;20'!N50/100</f>
        <v>5.2431535786944344E-2</v>
      </c>
      <c r="I42" s="571"/>
      <c r="J42" s="571"/>
    </row>
    <row r="43" spans="1:10" s="1" customFormat="1" ht="26.25" customHeight="1" x14ac:dyDescent="0.2">
      <c r="A43" s="245" t="s">
        <v>56</v>
      </c>
      <c r="B43" s="18" t="s">
        <v>56</v>
      </c>
      <c r="C43" s="19">
        <f>'[2]F 4 TRI _ Granulo'!K30</f>
        <v>2.1406000000000005</v>
      </c>
      <c r="D43" s="20">
        <f>'[2]F 4 TRI _ Granulo'!H30</f>
        <v>2.89</v>
      </c>
      <c r="E43" s="20">
        <f>'[2]F 4 TRI _ Granulo'!E30</f>
        <v>0</v>
      </c>
      <c r="F43" s="20">
        <f t="shared" si="1"/>
        <v>5.0306000000000006</v>
      </c>
      <c r="G43" s="21">
        <f t="shared" si="0"/>
        <v>6.3004466145713728E-2</v>
      </c>
      <c r="H43" s="21">
        <f>J43</f>
        <v>5.554490833172368E-2</v>
      </c>
      <c r="I43" s="246">
        <f>G43</f>
        <v>6.3004466145713728E-2</v>
      </c>
      <c r="J43" s="246">
        <f>'[2]Calcul sous cat &gt;20'!N15/100</f>
        <v>5.554490833172368E-2</v>
      </c>
    </row>
    <row r="44" spans="1:10" s="1" customFormat="1" ht="15" customHeight="1" x14ac:dyDescent="0.2">
      <c r="A44" s="567" t="s">
        <v>57</v>
      </c>
      <c r="B44" s="18" t="s">
        <v>58</v>
      </c>
      <c r="C44" s="19">
        <f>'[2]F 4 TRI _ Granulo'!K31</f>
        <v>0</v>
      </c>
      <c r="D44" s="20">
        <f>'[2]F 4 TRI _ Granulo'!H31</f>
        <v>3.69</v>
      </c>
      <c r="E44" s="20">
        <f>'[2]F 4 TRI _ Granulo'!E31</f>
        <v>0</v>
      </c>
      <c r="F44" s="20">
        <f t="shared" si="1"/>
        <v>3.69</v>
      </c>
      <c r="G44" s="21">
        <f t="shared" si="0"/>
        <v>4.6214463498923317E-2</v>
      </c>
      <c r="H44" s="21">
        <f>G44*J44/I44</f>
        <v>3.9859955216133343E-2</v>
      </c>
      <c r="I44" s="571">
        <f>G44+G45</f>
        <v>6.1917361692676726E-2</v>
      </c>
      <c r="J44" s="571">
        <f>'[2]Calcul sous cat &gt;20'!N16/100</f>
        <v>5.3403698264910579E-2</v>
      </c>
    </row>
    <row r="45" spans="1:10" s="1" customFormat="1" ht="15" customHeight="1" x14ac:dyDescent="0.2">
      <c r="A45" s="570"/>
      <c r="B45" s="18" t="s">
        <v>59</v>
      </c>
      <c r="C45" s="19">
        <f>'[2]F 4 TRI _ Granulo'!K32</f>
        <v>0.58380000000000054</v>
      </c>
      <c r="D45" s="20">
        <f>'[2]F 4 TRI _ Granulo'!H32</f>
        <v>0.66999999999999993</v>
      </c>
      <c r="E45" s="20">
        <f>'[2]F 4 TRI _ Granulo'!E32</f>
        <v>0</v>
      </c>
      <c r="F45" s="20">
        <f t="shared" si="1"/>
        <v>1.2538000000000005</v>
      </c>
      <c r="G45" s="21">
        <f t="shared" si="0"/>
        <v>1.5702898193753409E-2</v>
      </c>
      <c r="H45" s="21">
        <f>G45*J44/I44</f>
        <v>1.3543743048777236E-2</v>
      </c>
      <c r="I45" s="571"/>
      <c r="J45" s="571"/>
    </row>
    <row r="46" spans="1:10" s="1" customFormat="1" ht="15" customHeight="1" x14ac:dyDescent="0.2">
      <c r="A46" s="567" t="s">
        <v>60</v>
      </c>
      <c r="B46" s="18" t="s">
        <v>61</v>
      </c>
      <c r="C46" s="19">
        <f>'[2]F 4 TRI _ Granulo'!K33</f>
        <v>0.45406666666666706</v>
      </c>
      <c r="D46" s="20">
        <f>'[2]F 4 TRI _ Granulo'!H33</f>
        <v>0.4700000000000002</v>
      </c>
      <c r="E46" s="20">
        <f>'[2]F 4 TRI _ Granulo'!E33</f>
        <v>0.36</v>
      </c>
      <c r="F46" s="20">
        <f t="shared" si="1"/>
        <v>1.2840666666666674</v>
      </c>
      <c r="G46" s="21">
        <f t="shared" si="0"/>
        <v>1.6081965337899955E-2</v>
      </c>
      <c r="H46" s="21">
        <f t="shared" ref="H46:H51" si="2">G46*$J$46/$I$46</f>
        <v>1.432045102744817E-2</v>
      </c>
      <c r="I46" s="571">
        <f>G46+G47+G50+G51+G48+G49</f>
        <v>3.5044506991450952E-2</v>
      </c>
      <c r="J46" s="571">
        <f>'[2]Calcul sous cat &gt;20'!N17/100</f>
        <v>3.1205958700174161E-2</v>
      </c>
    </row>
    <row r="47" spans="1:10" s="1" customFormat="1" ht="15" customHeight="1" x14ac:dyDescent="0.2">
      <c r="A47" s="568"/>
      <c r="B47" s="18" t="s">
        <v>62</v>
      </c>
      <c r="C47" s="19">
        <f>'[2]F 4 TRI _ Granulo'!K34</f>
        <v>0.45406666666666706</v>
      </c>
      <c r="D47" s="20">
        <f>'[2]F 4 TRI _ Granulo'!H34</f>
        <v>7.0000000000000062E-2</v>
      </c>
      <c r="E47" s="20">
        <f>'[2]F 4 TRI _ Granulo'!E34</f>
        <v>0</v>
      </c>
      <c r="F47" s="20">
        <f t="shared" si="1"/>
        <v>0.52406666666666712</v>
      </c>
      <c r="G47" s="21">
        <f t="shared" si="0"/>
        <v>6.5635392514008396E-3</v>
      </c>
      <c r="H47" s="21">
        <f t="shared" si="2"/>
        <v>5.8446116778344895E-3</v>
      </c>
      <c r="I47" s="571"/>
      <c r="J47" s="571"/>
    </row>
    <row r="48" spans="1:10" s="1" customFormat="1" ht="15" customHeight="1" x14ac:dyDescent="0.2">
      <c r="A48" s="568"/>
      <c r="B48" s="18" t="s">
        <v>63</v>
      </c>
      <c r="C48" s="19">
        <f>'[2]F 4 TRI _ Granulo'!K35</f>
        <v>0</v>
      </c>
      <c r="D48" s="20">
        <f>'[2]F 4 TRI _ Granulo'!H35</f>
        <v>0</v>
      </c>
      <c r="E48" s="20">
        <f>'[2]F 4 TRI _ Granulo'!E35</f>
        <v>0</v>
      </c>
      <c r="F48" s="20">
        <f t="shared" si="1"/>
        <v>0</v>
      </c>
      <c r="G48" s="21">
        <f t="shared" si="0"/>
        <v>0</v>
      </c>
      <c r="H48" s="21">
        <f t="shared" si="2"/>
        <v>0</v>
      </c>
      <c r="I48" s="571"/>
      <c r="J48" s="571"/>
    </row>
    <row r="49" spans="1:10" s="1" customFormat="1" ht="15" customHeight="1" x14ac:dyDescent="0.2">
      <c r="A49" s="568"/>
      <c r="B49" s="18" t="s">
        <v>64</v>
      </c>
      <c r="C49" s="19">
        <f>'[2]F 4 TRI _ Granulo'!K36</f>
        <v>0</v>
      </c>
      <c r="D49" s="20">
        <f>'[2]F 4 TRI _ Granulo'!H36</f>
        <v>0</v>
      </c>
      <c r="E49" s="20">
        <f>'[2]F 4 TRI _ Granulo'!E36</f>
        <v>0</v>
      </c>
      <c r="F49" s="20">
        <f t="shared" si="1"/>
        <v>0</v>
      </c>
      <c r="G49" s="21">
        <f t="shared" si="0"/>
        <v>0</v>
      </c>
      <c r="H49" s="21">
        <f t="shared" si="2"/>
        <v>0</v>
      </c>
      <c r="I49" s="571"/>
      <c r="J49" s="571"/>
    </row>
    <row r="50" spans="1:10" s="1" customFormat="1" ht="15" customHeight="1" x14ac:dyDescent="0.2">
      <c r="A50" s="568"/>
      <c r="B50" s="18" t="s">
        <v>65</v>
      </c>
      <c r="C50" s="19">
        <f>'[2]F 4 TRI _ Granulo'!K37</f>
        <v>0</v>
      </c>
      <c r="D50" s="20">
        <f>'[2]F 4 TRI _ Granulo'!H37</f>
        <v>1.0000000000000009E-2</v>
      </c>
      <c r="E50" s="20">
        <f>'[2]F 4 TRI _ Granulo'!E37</f>
        <v>0.98</v>
      </c>
      <c r="F50" s="20">
        <f t="shared" si="1"/>
        <v>0.99</v>
      </c>
      <c r="G50" s="21">
        <f t="shared" si="0"/>
        <v>1.2399002402150158E-2</v>
      </c>
      <c r="H50" s="21">
        <f t="shared" si="2"/>
        <v>1.1040895994891503E-2</v>
      </c>
      <c r="I50" s="571"/>
      <c r="J50" s="571"/>
    </row>
    <row r="51" spans="1:10" s="1" customFormat="1" ht="15" customHeight="1" x14ac:dyDescent="0.2">
      <c r="A51" s="570"/>
      <c r="B51" s="18" t="s">
        <v>66</v>
      </c>
      <c r="C51" s="19">
        <f>'[2]F 4 TRI _ Granulo'!K38</f>
        <v>0</v>
      </c>
      <c r="D51" s="20">
        <f>'[2]F 4 TRI _ Granulo'!H38</f>
        <v>0</v>
      </c>
      <c r="E51" s="20">
        <f>'[2]F 4 TRI _ Granulo'!E38</f>
        <v>0</v>
      </c>
      <c r="F51" s="20">
        <f t="shared" si="1"/>
        <v>0</v>
      </c>
      <c r="G51" s="21">
        <f t="shared" si="0"/>
        <v>0</v>
      </c>
      <c r="H51" s="21">
        <f t="shared" si="2"/>
        <v>0</v>
      </c>
      <c r="I51" s="571"/>
      <c r="J51" s="571"/>
    </row>
    <row r="52" spans="1:10" s="1" customFormat="1" ht="15" customHeight="1" x14ac:dyDescent="0.2">
      <c r="A52" s="247" t="s">
        <v>67</v>
      </c>
      <c r="B52" s="18" t="s">
        <v>68</v>
      </c>
      <c r="C52" s="19">
        <f>'[2]F 4 TRI _ Granulo'!K39</f>
        <v>0.8432666666666675</v>
      </c>
      <c r="D52" s="20">
        <f>'[2]F 4 TRI _ Granulo'!H39</f>
        <v>0.60999999999999988</v>
      </c>
      <c r="E52" s="20">
        <f>'[2]F 4 TRI _ Granulo'!E39</f>
        <v>0</v>
      </c>
      <c r="F52" s="20">
        <f t="shared" si="1"/>
        <v>1.4532666666666674</v>
      </c>
      <c r="G52" s="21">
        <f t="shared" si="0"/>
        <v>1.8201067566631073E-2</v>
      </c>
      <c r="H52" s="21">
        <f>J52</f>
        <v>1.7922986314822316E-2</v>
      </c>
      <c r="I52" s="248">
        <f>G52</f>
        <v>1.8201067566631073E-2</v>
      </c>
      <c r="J52" s="248">
        <f>'[2]Calcul sous cat &gt;20'!N18/100</f>
        <v>1.7922986314822316E-2</v>
      </c>
    </row>
    <row r="53" spans="1:10" s="1" customFormat="1" ht="15" customHeight="1" x14ac:dyDescent="0.2">
      <c r="A53" s="567" t="s">
        <v>69</v>
      </c>
      <c r="B53" s="18" t="s">
        <v>121</v>
      </c>
      <c r="C53" s="19">
        <f>'[2]F 4 TRI _ Granulo'!K40</f>
        <v>0</v>
      </c>
      <c r="D53" s="20">
        <f>'[2]F 4 TRI _ Granulo'!H40</f>
        <v>0</v>
      </c>
      <c r="E53" s="20">
        <f>'[2]F 4 TRI _ Granulo'!E40</f>
        <v>0</v>
      </c>
      <c r="F53" s="20">
        <f t="shared" si="1"/>
        <v>0</v>
      </c>
      <c r="G53" s="21">
        <f t="shared" si="0"/>
        <v>0</v>
      </c>
      <c r="H53" s="243">
        <f>G53*J53/I53</f>
        <v>0</v>
      </c>
      <c r="I53" s="571">
        <f>SUM(G53:G62)</f>
        <v>1.6248120319585339E-3</v>
      </c>
      <c r="J53" s="571">
        <f>'[2]Calcul sous cat &gt;20'!N19/100</f>
        <v>1.4309554302764985E-3</v>
      </c>
    </row>
    <row r="54" spans="1:10" s="1" customFormat="1" ht="15" customHeight="1" x14ac:dyDescent="0.2">
      <c r="A54" s="568"/>
      <c r="B54" s="18" t="s">
        <v>70</v>
      </c>
      <c r="C54" s="19">
        <f>'[2]F 4 TRI _ Granulo'!K41</f>
        <v>0</v>
      </c>
      <c r="D54" s="20">
        <f>'[2]F 4 TRI _ Granulo'!H41</f>
        <v>0</v>
      </c>
      <c r="E54" s="20">
        <f>'[2]F 4 TRI _ Granulo'!E41</f>
        <v>0</v>
      </c>
      <c r="F54" s="20">
        <f t="shared" si="1"/>
        <v>0</v>
      </c>
      <c r="G54" s="21">
        <f t="shared" si="0"/>
        <v>0</v>
      </c>
      <c r="H54" s="243">
        <f>G54*J53/I53</f>
        <v>0</v>
      </c>
      <c r="I54" s="571"/>
      <c r="J54" s="571"/>
    </row>
    <row r="55" spans="1:10" s="1" customFormat="1" ht="15" customHeight="1" x14ac:dyDescent="0.2">
      <c r="A55" s="568"/>
      <c r="B55" s="18" t="s">
        <v>71</v>
      </c>
      <c r="C55" s="19">
        <f>'[2]F 4 TRI _ Granulo'!K42</f>
        <v>0</v>
      </c>
      <c r="D55" s="20">
        <f>'[2]F 4 TRI _ Granulo'!H42</f>
        <v>0</v>
      </c>
      <c r="E55" s="20">
        <f>'[2]F 4 TRI _ Granulo'!E42</f>
        <v>0</v>
      </c>
      <c r="F55" s="20">
        <f>SUM(C55:E55)</f>
        <v>0</v>
      </c>
      <c r="G55" s="21">
        <f t="shared" si="0"/>
        <v>0</v>
      </c>
      <c r="H55" s="243">
        <f>G55*J53/I53</f>
        <v>0</v>
      </c>
      <c r="I55" s="571"/>
      <c r="J55" s="571"/>
    </row>
    <row r="56" spans="1:10" s="1" customFormat="1" ht="15" customHeight="1" x14ac:dyDescent="0.2">
      <c r="A56" s="568"/>
      <c r="B56" s="18" t="s">
        <v>72</v>
      </c>
      <c r="C56" s="19">
        <f>'[2]F 4 TRI _ Granulo'!K43</f>
        <v>0</v>
      </c>
      <c r="D56" s="20">
        <f>'[2]F 4 TRI _ Granulo'!H43</f>
        <v>0</v>
      </c>
      <c r="E56" s="20">
        <f>'[2]F 4 TRI _ Granulo'!E43</f>
        <v>0</v>
      </c>
      <c r="F56" s="20">
        <f t="shared" si="1"/>
        <v>0</v>
      </c>
      <c r="G56" s="21">
        <f>F56/$F$64</f>
        <v>0</v>
      </c>
      <c r="H56" s="243">
        <f>G56*J53/I53</f>
        <v>0</v>
      </c>
      <c r="I56" s="571"/>
      <c r="J56" s="571"/>
    </row>
    <row r="57" spans="1:10" s="1" customFormat="1" ht="17.25" customHeight="1" x14ac:dyDescent="0.2">
      <c r="A57" s="568"/>
      <c r="B57" s="18" t="s">
        <v>122</v>
      </c>
      <c r="C57" s="19">
        <f>'[2]F 4 TRI _ Granulo'!K44</f>
        <v>0</v>
      </c>
      <c r="D57" s="20">
        <f>'[2]F 4 TRI _ Granulo'!H44</f>
        <v>0</v>
      </c>
      <c r="E57" s="20">
        <f>'[2]F 4 TRI _ Granulo'!E44</f>
        <v>0</v>
      </c>
      <c r="F57" s="20">
        <f t="shared" si="1"/>
        <v>0</v>
      </c>
      <c r="G57" s="21">
        <f t="shared" ref="G57:G62" si="3">F57/$F$64</f>
        <v>0</v>
      </c>
      <c r="H57" s="243">
        <f>G57*J53/I53</f>
        <v>0</v>
      </c>
      <c r="I57" s="571"/>
      <c r="J57" s="571"/>
    </row>
    <row r="58" spans="1:10" s="1" customFormat="1" ht="17.25" customHeight="1" x14ac:dyDescent="0.2">
      <c r="A58" s="568"/>
      <c r="B58" s="18" t="s">
        <v>123</v>
      </c>
      <c r="C58" s="19">
        <f>'[2]F 4 TRI _ Granulo'!K45</f>
        <v>0</v>
      </c>
      <c r="D58" s="20">
        <f>'[2]F 4 TRI _ Granulo'!H45</f>
        <v>0</v>
      </c>
      <c r="E58" s="20">
        <f>'[2]F 4 TRI _ Granulo'!E45</f>
        <v>0</v>
      </c>
      <c r="F58" s="20">
        <f t="shared" si="1"/>
        <v>0</v>
      </c>
      <c r="G58" s="21">
        <f t="shared" si="3"/>
        <v>0</v>
      </c>
      <c r="H58" s="243">
        <f>G58*J53/I53</f>
        <v>0</v>
      </c>
      <c r="I58" s="571"/>
      <c r="J58" s="571"/>
    </row>
    <row r="59" spans="1:10" s="1" customFormat="1" ht="25.5" customHeight="1" x14ac:dyDescent="0.2">
      <c r="A59" s="568"/>
      <c r="B59" s="18" t="s">
        <v>124</v>
      </c>
      <c r="C59" s="19">
        <f>'[2]F 4 TRI _ Granulo'!K46</f>
        <v>0</v>
      </c>
      <c r="D59" s="20">
        <f>'[2]F 4 TRI _ Granulo'!H46</f>
        <v>0</v>
      </c>
      <c r="E59" s="20">
        <f>'[2]F 4 TRI _ Granulo'!E46</f>
        <v>0</v>
      </c>
      <c r="F59" s="20">
        <f t="shared" si="1"/>
        <v>0</v>
      </c>
      <c r="G59" s="21">
        <f t="shared" si="3"/>
        <v>0</v>
      </c>
      <c r="H59" s="243">
        <f>G59*J53/I53</f>
        <v>0</v>
      </c>
      <c r="I59" s="571"/>
      <c r="J59" s="571"/>
    </row>
    <row r="60" spans="1:10" x14ac:dyDescent="0.25">
      <c r="A60" s="568"/>
      <c r="B60" s="18" t="s">
        <v>125</v>
      </c>
      <c r="C60" s="19">
        <f>'[2]F 4 TRI _ Granulo'!K47</f>
        <v>0</v>
      </c>
      <c r="D60" s="20">
        <f>'[2]F 4 TRI _ Granulo'!H47</f>
        <v>0</v>
      </c>
      <c r="E60" s="20">
        <f>'[2]F 4 TRI _ Granulo'!E47</f>
        <v>0</v>
      </c>
      <c r="F60" s="20">
        <f t="shared" si="1"/>
        <v>0</v>
      </c>
      <c r="G60" s="21">
        <f t="shared" si="3"/>
        <v>0</v>
      </c>
      <c r="H60" s="243">
        <f>G60*J53/I53</f>
        <v>0</v>
      </c>
      <c r="I60" s="571"/>
      <c r="J60" s="571"/>
    </row>
    <row r="61" spans="1:10" x14ac:dyDescent="0.25">
      <c r="A61" s="568"/>
      <c r="B61" s="18" t="s">
        <v>126</v>
      </c>
      <c r="C61" s="19">
        <f>'[2]F 4 TRI _ Granulo'!K48</f>
        <v>0.12973333333333345</v>
      </c>
      <c r="D61" s="20">
        <f>'[2]F 4 TRI _ Granulo'!H48</f>
        <v>0</v>
      </c>
      <c r="E61" s="20">
        <f>'[2]F 4 TRI _ Granulo'!E48</f>
        <v>0</v>
      </c>
      <c r="F61" s="20">
        <f t="shared" si="1"/>
        <v>0.12973333333333345</v>
      </c>
      <c r="G61" s="21">
        <f t="shared" si="3"/>
        <v>1.6248120319585339E-3</v>
      </c>
      <c r="H61" s="243">
        <f>G61*J53/I53</f>
        <v>1.4309554302764985E-3</v>
      </c>
      <c r="I61" s="571"/>
      <c r="J61" s="571"/>
    </row>
    <row r="62" spans="1:10" x14ac:dyDescent="0.25">
      <c r="A62" s="569"/>
      <c r="B62" s="18" t="s">
        <v>73</v>
      </c>
      <c r="C62" s="19">
        <f>'[2]F 4 TRI _ Granulo'!K49</f>
        <v>0</v>
      </c>
      <c r="D62" s="20">
        <f>'[2]F 4 TRI _ Granulo'!H49</f>
        <v>0</v>
      </c>
      <c r="E62" s="20">
        <f>'[2]F 4 TRI _ Granulo'!E49</f>
        <v>0</v>
      </c>
      <c r="F62" s="20">
        <f t="shared" si="1"/>
        <v>0</v>
      </c>
      <c r="G62" s="21">
        <f t="shared" si="3"/>
        <v>0</v>
      </c>
      <c r="H62" s="175">
        <f>G62*J53/I53</f>
        <v>0</v>
      </c>
      <c r="I62" s="571"/>
      <c r="J62" s="571"/>
    </row>
    <row r="63" spans="1:10" x14ac:dyDescent="0.25">
      <c r="A63" s="22" t="s">
        <v>74</v>
      </c>
      <c r="B63" s="23">
        <f>'[2]F 3 _ Criblage et Tri'!C27+'[2]F 3 _ Criblage et Tri'!D27</f>
        <v>7.82</v>
      </c>
      <c r="C63" s="19">
        <f>'[2]F 4 TRI _ Granulo'!K50</f>
        <v>2.0757333333333352</v>
      </c>
      <c r="D63" s="20">
        <f>'[2]F 4 TRI _ Granulo'!H50</f>
        <v>0.48</v>
      </c>
      <c r="E63" s="20">
        <f>'[2]F 4 TRI _ Granulo'!E50</f>
        <v>0</v>
      </c>
      <c r="F63" s="19">
        <f>SUM(B63:E63)</f>
        <v>10.375733333333336</v>
      </c>
      <c r="G63" s="21">
        <f t="shared" si="0"/>
        <v>0.12994822477178739</v>
      </c>
      <c r="H63" s="21">
        <f>J63</f>
        <v>6.3691204421557859E-2</v>
      </c>
      <c r="I63" s="24">
        <f>G63</f>
        <v>0.12994822477178739</v>
      </c>
      <c r="J63" s="24">
        <f>'[2]Calcul sous cat &gt;20'!N20/100</f>
        <v>6.3691204421557859E-2</v>
      </c>
    </row>
    <row r="64" spans="1:10" x14ac:dyDescent="0.25">
      <c r="A64" s="25" t="s">
        <v>25</v>
      </c>
      <c r="B64" s="90">
        <f>B63</f>
        <v>7.82</v>
      </c>
      <c r="C64" s="19">
        <f>SUM(C18:C63)</f>
        <v>38.855133333333356</v>
      </c>
      <c r="D64" s="19">
        <f>SUM(D18:D63)</f>
        <v>27.670000000000009</v>
      </c>
      <c r="E64" s="19">
        <f>SUM(E18:E63)</f>
        <v>5.5</v>
      </c>
      <c r="F64" s="19">
        <f>SUM(B64:E64)</f>
        <v>79.845133333333365</v>
      </c>
      <c r="G64" s="21">
        <f t="shared" si="0"/>
        <v>1</v>
      </c>
      <c r="H64" s="21">
        <f>SUM(H18:H63)</f>
        <v>1.0000000000000002</v>
      </c>
      <c r="I64" s="24">
        <f>SUM(I18:I63)</f>
        <v>0.99999999999999989</v>
      </c>
      <c r="J64" s="24">
        <f>SUM(J18:J63)</f>
        <v>1</v>
      </c>
    </row>
    <row r="65" spans="1:10" ht="51.75" x14ac:dyDescent="0.25">
      <c r="A65" s="26" t="s">
        <v>75</v>
      </c>
      <c r="B65" s="235">
        <f>B64/$F$64</f>
        <v>9.7939594732135593E-2</v>
      </c>
      <c r="C65" s="235">
        <f>C64/$F$64</f>
        <v>0.48663120357158074</v>
      </c>
      <c r="D65" s="235">
        <f>D64/$F$64</f>
        <v>0.34654585501767166</v>
      </c>
      <c r="E65" s="235">
        <f>E64/$F$64</f>
        <v>6.8883346678611984E-2</v>
      </c>
      <c r="F65" s="235">
        <f>F64/$F$64</f>
        <v>1</v>
      </c>
      <c r="G65" s="1"/>
      <c r="H65" s="1"/>
      <c r="I65" s="1"/>
      <c r="J65" s="1"/>
    </row>
  </sheetData>
  <mergeCells count="40">
    <mergeCell ref="B2:F2"/>
    <mergeCell ref="B11:C11"/>
    <mergeCell ref="D11:F11"/>
    <mergeCell ref="B3:F3"/>
    <mergeCell ref="A7:J7"/>
    <mergeCell ref="D9:F9"/>
    <mergeCell ref="D10:F10"/>
    <mergeCell ref="D12:F12"/>
    <mergeCell ref="A14:J14"/>
    <mergeCell ref="G16:G17"/>
    <mergeCell ref="H16:H17"/>
    <mergeCell ref="I16:I17"/>
    <mergeCell ref="J16:J17"/>
    <mergeCell ref="A28:A30"/>
    <mergeCell ref="I28:I30"/>
    <mergeCell ref="J28:J30"/>
    <mergeCell ref="A18:A22"/>
    <mergeCell ref="I18:I22"/>
    <mergeCell ref="J18:J22"/>
    <mergeCell ref="A23:A27"/>
    <mergeCell ref="I23:I27"/>
    <mergeCell ref="J23:J27"/>
    <mergeCell ref="A46:A51"/>
    <mergeCell ref="I46:I51"/>
    <mergeCell ref="J46:J51"/>
    <mergeCell ref="A53:A62"/>
    <mergeCell ref="I53:I62"/>
    <mergeCell ref="J53:J62"/>
    <mergeCell ref="A38:A42"/>
    <mergeCell ref="I38:I42"/>
    <mergeCell ref="J38:J42"/>
    <mergeCell ref="A44:A45"/>
    <mergeCell ref="I44:I45"/>
    <mergeCell ref="J44:J45"/>
    <mergeCell ref="A31:A34"/>
    <mergeCell ref="I31:I34"/>
    <mergeCell ref="J31:J34"/>
    <mergeCell ref="A36:A37"/>
    <mergeCell ref="I36:I37"/>
    <mergeCell ref="J36:J37"/>
  </mergeCells>
  <pageMargins left="0.70866141732283472" right="0.70866141732283472" top="0.74803149606299213" bottom="0.74803149606299213" header="0.31496062992125984" footer="0.31496062992125984"/>
  <pageSetup paperSize="9" scale="66" orientation="portrait" verticalDpi="0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W31"/>
  <sheetViews>
    <sheetView zoomScale="70" zoomScaleNormal="70" workbookViewId="0">
      <pane ySplit="4" topLeftCell="A5" activePane="bottomLeft" state="frozen"/>
      <selection activeCell="N59" sqref="N59"/>
      <selection pane="bottomLeft" activeCell="N59" sqref="N59"/>
    </sheetView>
  </sheetViews>
  <sheetFormatPr baseColWidth="10" defaultRowHeight="15" x14ac:dyDescent="0.25"/>
  <cols>
    <col min="1" max="1" width="11.85546875" style="338" customWidth="1"/>
    <col min="2" max="3" width="12.5703125" style="338" hidden="1" customWidth="1"/>
    <col min="4" max="10" width="12.7109375" style="365" customWidth="1"/>
    <col min="11" max="11" width="12.7109375" style="366" customWidth="1"/>
    <col min="12" max="13" width="11.42578125" style="339"/>
    <col min="14" max="14" width="14.85546875" style="339" customWidth="1"/>
    <col min="15" max="17" width="11.42578125" style="339"/>
    <col min="18" max="18" width="3" style="340" customWidth="1"/>
    <col min="19" max="22" width="11.42578125" style="341"/>
    <col min="23" max="23" width="11.42578125" style="340"/>
    <col min="24" max="16384" width="11.42578125" style="339"/>
  </cols>
  <sheetData>
    <row r="1" spans="1:22" ht="31.5" customHeight="1" x14ac:dyDescent="0.25">
      <c r="D1" s="673" t="s">
        <v>200</v>
      </c>
      <c r="E1" s="673"/>
      <c r="F1" s="673"/>
      <c r="G1" s="673"/>
      <c r="H1" s="673" t="s">
        <v>200</v>
      </c>
      <c r="I1" s="673"/>
      <c r="J1" s="673"/>
      <c r="K1" s="673"/>
    </row>
    <row r="2" spans="1:22" ht="20.25" customHeight="1" x14ac:dyDescent="0.25">
      <c r="D2" s="674" t="str">
        <f>' SYCTOM Déchets Orga'!D2:G2</f>
        <v>Campagne : Eté 2015</v>
      </c>
      <c r="E2" s="674"/>
      <c r="F2" s="674"/>
      <c r="G2" s="674"/>
      <c r="H2" s="674" t="str">
        <f>D2</f>
        <v>Campagne : Eté 2015</v>
      </c>
      <c r="I2" s="674"/>
      <c r="J2" s="674"/>
      <c r="K2" s="674"/>
    </row>
    <row r="3" spans="1:22" ht="20.25" customHeight="1" x14ac:dyDescent="0.25">
      <c r="A3" s="342"/>
      <c r="B3" s="342"/>
      <c r="C3" s="342"/>
      <c r="D3" s="675" t="s">
        <v>201</v>
      </c>
      <c r="E3" s="675"/>
      <c r="F3" s="675"/>
      <c r="G3" s="675"/>
      <c r="H3" s="675" t="s">
        <v>201</v>
      </c>
      <c r="I3" s="675"/>
      <c r="J3" s="675"/>
      <c r="K3" s="675"/>
    </row>
    <row r="4" spans="1:22" ht="24" customHeight="1" x14ac:dyDescent="0.25">
      <c r="A4" s="343" t="s">
        <v>202</v>
      </c>
      <c r="B4" s="344" t="s">
        <v>203</v>
      </c>
      <c r="C4" s="345" t="s">
        <v>204</v>
      </c>
      <c r="D4" s="346" t="s">
        <v>205</v>
      </c>
      <c r="E4" s="346" t="s">
        <v>206</v>
      </c>
      <c r="F4" s="346" t="s">
        <v>207</v>
      </c>
      <c r="G4" s="346" t="s">
        <v>208</v>
      </c>
      <c r="H4" s="346" t="s">
        <v>209</v>
      </c>
      <c r="I4" s="346" t="s">
        <v>210</v>
      </c>
      <c r="J4" s="346" t="s">
        <v>211</v>
      </c>
      <c r="K4" s="346" t="s">
        <v>212</v>
      </c>
      <c r="L4" s="347" t="s">
        <v>213</v>
      </c>
      <c r="M4" s="347" t="s">
        <v>214</v>
      </c>
      <c r="N4" s="347" t="s">
        <v>215</v>
      </c>
      <c r="O4" s="347" t="s">
        <v>216</v>
      </c>
      <c r="P4" s="347" t="s">
        <v>217</v>
      </c>
      <c r="Q4" s="347" t="s">
        <v>218</v>
      </c>
      <c r="S4" s="341" t="s">
        <v>219</v>
      </c>
      <c r="T4" s="348">
        <v>0.2</v>
      </c>
      <c r="U4" s="349" t="s">
        <v>220</v>
      </c>
      <c r="V4" s="350" t="s">
        <v>221</v>
      </c>
    </row>
    <row r="5" spans="1:22" ht="24" customHeight="1" x14ac:dyDescent="0.25">
      <c r="A5" s="351" t="s">
        <v>222</v>
      </c>
      <c r="B5" s="352" t="s">
        <v>223</v>
      </c>
      <c r="C5" s="353" t="s">
        <v>224</v>
      </c>
      <c r="D5" s="354">
        <v>74.283091000250664</v>
      </c>
      <c r="E5" s="354">
        <v>76.003535234503886</v>
      </c>
      <c r="F5" s="354">
        <v>60.346396745447507</v>
      </c>
      <c r="G5" s="354">
        <v>76.960477648499705</v>
      </c>
      <c r="H5" s="354">
        <v>57.112656853281848</v>
      </c>
      <c r="I5" s="354">
        <v>72.375737323841335</v>
      </c>
      <c r="J5" s="354">
        <v>72.545426867943661</v>
      </c>
      <c r="K5" s="354">
        <v>73.37501490757306</v>
      </c>
      <c r="L5" s="354">
        <v>75.143313117377275</v>
      </c>
      <c r="M5" s="354">
        <v>68.653437196973613</v>
      </c>
      <c r="N5" s="354">
        <v>64.744197088561592</v>
      </c>
      <c r="O5" s="354">
        <v>72.960220887758368</v>
      </c>
      <c r="P5" s="354">
        <v>66.07189286673092</v>
      </c>
      <c r="Q5" s="354">
        <v>74.678691278604504</v>
      </c>
      <c r="S5" s="341">
        <v>65.8</v>
      </c>
      <c r="U5" s="355">
        <v>78.959999999999994</v>
      </c>
      <c r="V5" s="355">
        <v>52.64</v>
      </c>
    </row>
    <row r="6" spans="1:22" ht="24" customHeight="1" x14ac:dyDescent="0.25">
      <c r="A6" s="351" t="s">
        <v>225</v>
      </c>
      <c r="B6" s="352" t="s">
        <v>226</v>
      </c>
      <c r="C6" s="353" t="s">
        <v>224</v>
      </c>
      <c r="D6" s="356">
        <v>1.1071120581599398</v>
      </c>
      <c r="E6" s="356">
        <v>1.2065778930002358</v>
      </c>
      <c r="F6" s="356">
        <v>0.80590275087175511</v>
      </c>
      <c r="G6" s="356">
        <v>0.73046540110226577</v>
      </c>
      <c r="H6" s="356">
        <v>1.0214285714285714</v>
      </c>
      <c r="I6" s="356">
        <v>1.042840331250908</v>
      </c>
      <c r="J6" s="356">
        <v>0.94943168844348602</v>
      </c>
      <c r="K6" s="356">
        <v>1.1115229576624925</v>
      </c>
      <c r="L6" s="356">
        <v>1.1568449755800878</v>
      </c>
      <c r="M6" s="356">
        <v>0.76818407598701044</v>
      </c>
      <c r="N6" s="356">
        <v>1.0321344513397397</v>
      </c>
      <c r="O6" s="356">
        <v>1.0304773230529893</v>
      </c>
      <c r="P6" s="356">
        <v>0.97096876722593806</v>
      </c>
      <c r="Q6" s="356">
        <v>1.0228516457539756</v>
      </c>
      <c r="U6" s="355"/>
      <c r="V6" s="355"/>
    </row>
    <row r="7" spans="1:22" ht="24" customHeight="1" x14ac:dyDescent="0.25">
      <c r="A7" s="351" t="s">
        <v>227</v>
      </c>
      <c r="B7" s="352" t="s">
        <v>228</v>
      </c>
      <c r="C7" s="353" t="s">
        <v>229</v>
      </c>
      <c r="D7" s="357">
        <v>1424.9264226623216</v>
      </c>
      <c r="E7" s="357">
        <v>2138.1590973367902</v>
      </c>
      <c r="F7" s="357">
        <v>905.88632313056939</v>
      </c>
      <c r="G7" s="357">
        <v>1073.3004164115127</v>
      </c>
      <c r="H7" s="357">
        <v>988.03543677606183</v>
      </c>
      <c r="I7" s="357">
        <v>1544.7347668167947</v>
      </c>
      <c r="J7" s="357">
        <v>1424.1615755423063</v>
      </c>
      <c r="K7" s="357">
        <v>1652.3133214072748</v>
      </c>
      <c r="L7" s="357">
        <v>1781.542759999556</v>
      </c>
      <c r="M7" s="357">
        <v>989.59336977104113</v>
      </c>
      <c r="N7" s="357">
        <v>1266.3851017964282</v>
      </c>
      <c r="O7" s="357">
        <v>1538.2374484747907</v>
      </c>
      <c r="P7" s="357">
        <v>1185.7524395278147</v>
      </c>
      <c r="Q7" s="357">
        <v>1602.1269004930932</v>
      </c>
      <c r="U7" s="355"/>
      <c r="V7" s="355"/>
    </row>
    <row r="8" spans="1:22" ht="24" customHeight="1" x14ac:dyDescent="0.25">
      <c r="A8" s="351" t="s">
        <v>230</v>
      </c>
      <c r="B8" s="352" t="s">
        <v>228</v>
      </c>
      <c r="C8" s="353" t="s">
        <v>229</v>
      </c>
      <c r="D8" s="357">
        <v>3211.9946352469301</v>
      </c>
      <c r="E8" s="357">
        <v>3878.2919750176775</v>
      </c>
      <c r="F8" s="357">
        <v>2362.0127857419602</v>
      </c>
      <c r="G8" s="357">
        <v>2608.4339252908753</v>
      </c>
      <c r="H8" s="357">
        <v>2535.998624517375</v>
      </c>
      <c r="I8" s="357">
        <v>3084.3676303937241</v>
      </c>
      <c r="J8" s="357">
        <v>3272.0035646327542</v>
      </c>
      <c r="K8" s="357">
        <v>3414.2137507453795</v>
      </c>
      <c r="L8" s="357">
        <v>3545.1433051323038</v>
      </c>
      <c r="M8" s="357">
        <v>2485.2233555164175</v>
      </c>
      <c r="N8" s="357">
        <v>2810.1831274555498</v>
      </c>
      <c r="O8" s="357">
        <v>3343.1086576890666</v>
      </c>
      <c r="P8" s="357">
        <v>2845.5024025347548</v>
      </c>
      <c r="Q8" s="357">
        <v>3246.3268203619141</v>
      </c>
      <c r="U8" s="355"/>
      <c r="V8" s="355"/>
    </row>
    <row r="9" spans="1:22" ht="24" customHeight="1" x14ac:dyDescent="0.25">
      <c r="A9" s="351" t="s">
        <v>231</v>
      </c>
      <c r="B9" s="352" t="s">
        <v>232</v>
      </c>
      <c r="C9" s="353" t="s">
        <v>224</v>
      </c>
      <c r="D9" s="354">
        <v>38.157808974680371</v>
      </c>
      <c r="E9" s="354">
        <v>37.68144001885458</v>
      </c>
      <c r="F9" s="354">
        <v>31.461836497481595</v>
      </c>
      <c r="G9" s="354">
        <v>39.749246785058176</v>
      </c>
      <c r="H9" s="354">
        <v>28.530863899613898</v>
      </c>
      <c r="I9" s="354">
        <v>37.862095016707833</v>
      </c>
      <c r="J9" s="354">
        <v>37.679538246860332</v>
      </c>
      <c r="K9" s="354">
        <v>37.241097197376277</v>
      </c>
      <c r="L9" s="354">
        <v>37.919624496767476</v>
      </c>
      <c r="M9" s="354">
        <v>35.605541641269888</v>
      </c>
      <c r="N9" s="354">
        <v>33.196479458160866</v>
      </c>
      <c r="O9" s="354">
        <v>37.460317722118305</v>
      </c>
      <c r="P9" s="354">
        <v>33.957511904659043</v>
      </c>
      <c r="Q9" s="354">
        <v>38.133469754499217</v>
      </c>
      <c r="S9" s="341">
        <v>34.9</v>
      </c>
      <c r="T9" s="341">
        <f t="shared" ref="T9:T11" si="0">(20/100)*S9</f>
        <v>6.98</v>
      </c>
      <c r="U9" s="355">
        <f t="shared" ref="U9:U11" si="1">T9+S9</f>
        <v>41.879999999999995</v>
      </c>
      <c r="V9" s="355">
        <f t="shared" ref="V9:V11" si="2">S9-T9</f>
        <v>27.919999999999998</v>
      </c>
    </row>
    <row r="10" spans="1:22" ht="24" customHeight="1" x14ac:dyDescent="0.25">
      <c r="A10" s="351" t="s">
        <v>233</v>
      </c>
      <c r="B10" s="352" t="s">
        <v>234</v>
      </c>
      <c r="C10" s="353" t="s">
        <v>224</v>
      </c>
      <c r="D10" s="356">
        <v>1.0769115066432688</v>
      </c>
      <c r="E10" s="356">
        <v>1.1744284704218715</v>
      </c>
      <c r="F10" s="356">
        <v>0.78946144905075544</v>
      </c>
      <c r="G10" s="356">
        <v>0.71448867115737902</v>
      </c>
      <c r="H10" s="356">
        <v>1.0020028957528957</v>
      </c>
      <c r="I10" s="356">
        <v>1.0188871131773936</v>
      </c>
      <c r="J10" s="356">
        <v>0.92364582011924401</v>
      </c>
      <c r="K10" s="356">
        <v>1.0822182468694097</v>
      </c>
      <c r="L10" s="356">
        <v>1.1256699885325703</v>
      </c>
      <c r="M10" s="356">
        <v>0.75197506010406723</v>
      </c>
      <c r="N10" s="356">
        <v>1.0104450044651445</v>
      </c>
      <c r="O10" s="356">
        <v>1.0029320334943268</v>
      </c>
      <c r="P10" s="356">
        <v>0.94800541789154102</v>
      </c>
      <c r="Q10" s="356">
        <v>0.99750562540651333</v>
      </c>
      <c r="S10" s="341">
        <v>0.71</v>
      </c>
      <c r="T10" s="341">
        <f t="shared" si="0"/>
        <v>0.14199999999999999</v>
      </c>
      <c r="U10" s="355">
        <f t="shared" si="1"/>
        <v>0.85199999999999998</v>
      </c>
      <c r="V10" s="355">
        <f t="shared" si="2"/>
        <v>0.56799999999999995</v>
      </c>
    </row>
    <row r="11" spans="1:22" ht="24" customHeight="1" x14ac:dyDescent="0.25">
      <c r="A11" s="351" t="s">
        <v>235</v>
      </c>
      <c r="B11" s="352" t="s">
        <v>234</v>
      </c>
      <c r="C11" s="358" t="s">
        <v>236</v>
      </c>
      <c r="D11" s="354">
        <v>35.432631872992232</v>
      </c>
      <c r="E11" s="354">
        <v>32.084917019525989</v>
      </c>
      <c r="F11" s="354">
        <v>39.852277188849634</v>
      </c>
      <c r="G11" s="354">
        <v>55.633137920394944</v>
      </c>
      <c r="H11" s="354">
        <v>28.473833778869544</v>
      </c>
      <c r="I11" s="354">
        <v>37.160245258805077</v>
      </c>
      <c r="J11" s="354">
        <v>40.794357995357842</v>
      </c>
      <c r="K11" s="354">
        <v>34.41181786123601</v>
      </c>
      <c r="L11" s="354">
        <v>33.75877444625911</v>
      </c>
      <c r="M11" s="354">
        <v>47.742707554622285</v>
      </c>
      <c r="N11" s="354">
        <v>32.817039518837312</v>
      </c>
      <c r="O11" s="354">
        <v>37.603087928296929</v>
      </c>
      <c r="P11" s="354">
        <v>36.138275209017308</v>
      </c>
      <c r="Q11" s="354">
        <v>39.822529514990507</v>
      </c>
      <c r="S11" s="341">
        <v>49.2</v>
      </c>
      <c r="T11" s="341">
        <f t="shared" si="0"/>
        <v>9.8400000000000016</v>
      </c>
      <c r="U11" s="355">
        <f t="shared" si="1"/>
        <v>59.040000000000006</v>
      </c>
      <c r="V11" s="355">
        <f t="shared" si="2"/>
        <v>39.36</v>
      </c>
    </row>
    <row r="12" spans="1:22" ht="24" customHeight="1" x14ac:dyDescent="0.25">
      <c r="A12" s="351" t="s">
        <v>237</v>
      </c>
      <c r="B12" s="669" t="s">
        <v>238</v>
      </c>
      <c r="C12" s="353" t="s">
        <v>229</v>
      </c>
      <c r="D12" s="357">
        <v>1390.3091000250688</v>
      </c>
      <c r="E12" s="357">
        <v>1339.1764082017442</v>
      </c>
      <c r="F12" s="357">
        <v>1073.1770631538163</v>
      </c>
      <c r="G12" s="357">
        <v>1109.4955296999385</v>
      </c>
      <c r="H12" s="357">
        <v>1356.7481901544402</v>
      </c>
      <c r="I12" s="357">
        <v>1228.9150079907017</v>
      </c>
      <c r="J12" s="357">
        <v>1289.3351515920333</v>
      </c>
      <c r="K12" s="357">
        <v>1329.0419797257007</v>
      </c>
      <c r="L12" s="357">
        <v>1364.7427541134066</v>
      </c>
      <c r="M12" s="357">
        <v>1091.3362964268774</v>
      </c>
      <c r="N12" s="357">
        <v>1292.831599072571</v>
      </c>
      <c r="O12" s="357">
        <v>1309.188565658867</v>
      </c>
      <c r="P12" s="357">
        <v>1277.3923762313398</v>
      </c>
      <c r="Q12" s="357">
        <v>1251.6572314045213</v>
      </c>
      <c r="S12" s="341">
        <v>1700</v>
      </c>
      <c r="U12" s="355">
        <f>S12-((50/100)*S12)</f>
        <v>850</v>
      </c>
      <c r="V12" s="355">
        <f>S12+((200/100)*S12)</f>
        <v>5100</v>
      </c>
    </row>
    <row r="13" spans="1:22" ht="24" customHeight="1" x14ac:dyDescent="0.25">
      <c r="A13" s="351" t="s">
        <v>239</v>
      </c>
      <c r="B13" s="670"/>
      <c r="C13" s="353" t="s">
        <v>229</v>
      </c>
      <c r="D13" s="357">
        <v>7980.2944346954127</v>
      </c>
      <c r="E13" s="357">
        <v>7281.9835022389834</v>
      </c>
      <c r="F13" s="357">
        <v>7260.8624564122438</v>
      </c>
      <c r="G13" s="357">
        <v>8876.0700551132868</v>
      </c>
      <c r="H13" s="357">
        <v>5315.5244932432443</v>
      </c>
      <c r="I13" s="357">
        <v>9081.1354060729318</v>
      </c>
      <c r="J13" s="357">
        <v>8669.8950907015096</v>
      </c>
      <c r="K13" s="357">
        <v>7679.345378652356</v>
      </c>
      <c r="L13" s="357">
        <v>7631.1389684671976</v>
      </c>
      <c r="M13" s="357">
        <v>8068.4662557627653</v>
      </c>
      <c r="N13" s="357">
        <v>7198.3299496580876</v>
      </c>
      <c r="O13" s="357">
        <v>8174.6202346769333</v>
      </c>
      <c r="P13" s="357">
        <v>7306.6441187631026</v>
      </c>
      <c r="Q13" s="357">
        <v>8229.6335855193884</v>
      </c>
      <c r="S13" s="341">
        <v>2878</v>
      </c>
      <c r="U13" s="355">
        <f t="shared" ref="U13:U14" si="3">S13-((50/100)*S13)</f>
        <v>1439</v>
      </c>
      <c r="V13" s="355">
        <f>S13+((200/100)*S13)</f>
        <v>8634</v>
      </c>
    </row>
    <row r="14" spans="1:22" ht="24" customHeight="1" x14ac:dyDescent="0.25">
      <c r="A14" s="351" t="s">
        <v>240</v>
      </c>
      <c r="B14" s="671"/>
      <c r="C14" s="353" t="s">
        <v>229</v>
      </c>
      <c r="D14" s="354">
        <v>64.280772123339176</v>
      </c>
      <c r="E14" s="354">
        <v>70.947089323591797</v>
      </c>
      <c r="F14" s="354">
        <v>61.326036419992249</v>
      </c>
      <c r="G14" s="354">
        <v>78.907654623392531</v>
      </c>
      <c r="H14" s="354">
        <v>75.142495173745175</v>
      </c>
      <c r="I14" s="354">
        <v>62.233328490483807</v>
      </c>
      <c r="J14" s="354">
        <v>66.441583153621707</v>
      </c>
      <c r="K14" s="354">
        <v>70.319022063208109</v>
      </c>
      <c r="L14" s="354">
        <v>67.613930723465486</v>
      </c>
      <c r="M14" s="354">
        <v>70.116845521692397</v>
      </c>
      <c r="N14" s="354">
        <v>68.687911832114494</v>
      </c>
      <c r="O14" s="354">
        <v>68.380302608414908</v>
      </c>
      <c r="P14" s="354">
        <v>66.797721717674577</v>
      </c>
      <c r="Q14" s="354">
        <v>70.601773625169074</v>
      </c>
      <c r="S14" s="341">
        <v>100</v>
      </c>
      <c r="U14" s="355">
        <f t="shared" si="3"/>
        <v>50</v>
      </c>
      <c r="V14" s="355">
        <f t="shared" ref="V14" si="4">S14+((200/100)*S14)</f>
        <v>300</v>
      </c>
    </row>
    <row r="15" spans="1:22" ht="24" customHeight="1" x14ac:dyDescent="0.25">
      <c r="A15" s="351" t="s">
        <v>241</v>
      </c>
      <c r="B15" s="352" t="s">
        <v>228</v>
      </c>
      <c r="C15" s="353" t="s">
        <v>229</v>
      </c>
      <c r="D15" s="354">
        <v>35.59244171471547</v>
      </c>
      <c r="E15" s="354">
        <v>29.958696676879566</v>
      </c>
      <c r="F15" s="354">
        <v>45.373847345989923</v>
      </c>
      <c r="G15" s="354">
        <v>29.754243723208816</v>
      </c>
      <c r="H15" s="354">
        <v>55.927509652509649</v>
      </c>
      <c r="I15" s="354">
        <v>32.415574604097053</v>
      </c>
      <c r="J15" s="354">
        <v>55.822732462260547</v>
      </c>
      <c r="K15" s="354">
        <v>36.219642218246868</v>
      </c>
      <c r="L15" s="354">
        <v>32.775569195797516</v>
      </c>
      <c r="M15" s="354">
        <v>37.564045534599373</v>
      </c>
      <c r="N15" s="354">
        <v>44.171542128303351</v>
      </c>
      <c r="O15" s="354">
        <v>46.021187340253704</v>
      </c>
      <c r="P15" s="354">
        <v>48.179132793868895</v>
      </c>
      <c r="Q15" s="354">
        <v>32.087039305608073</v>
      </c>
    </row>
    <row r="16" spans="1:22" ht="24" customHeight="1" x14ac:dyDescent="0.25">
      <c r="A16" s="351" t="s">
        <v>242</v>
      </c>
      <c r="B16" s="352" t="s">
        <v>228</v>
      </c>
      <c r="C16" s="353" t="s">
        <v>229</v>
      </c>
      <c r="D16" s="357">
        <v>99.803785409877165</v>
      </c>
      <c r="E16" s="357">
        <v>42.51957341503654</v>
      </c>
      <c r="F16" s="357">
        <v>77.434221232080574</v>
      </c>
      <c r="G16" s="357">
        <v>80.148579301898351</v>
      </c>
      <c r="H16" s="357">
        <v>63.83021235521236</v>
      </c>
      <c r="I16" s="357">
        <v>72.928425105331982</v>
      </c>
      <c r="J16" s="357">
        <v>93.896067486997339</v>
      </c>
      <c r="K16" s="357">
        <v>84.112576028622527</v>
      </c>
      <c r="L16" s="357">
        <v>71.161679412456849</v>
      </c>
      <c r="M16" s="357">
        <v>78.791400266989456</v>
      </c>
      <c r="N16" s="357">
        <v>68.379318730272175</v>
      </c>
      <c r="O16" s="357">
        <v>89.004321757809933</v>
      </c>
      <c r="P16" s="357">
        <v>83.741071621041854</v>
      </c>
      <c r="Q16" s="357">
        <v>69.927288462722345</v>
      </c>
      <c r="S16" s="341">
        <v>56.3</v>
      </c>
      <c r="U16" s="355">
        <f>S16/2</f>
        <v>28.15</v>
      </c>
      <c r="V16" s="341">
        <f>S16*2</f>
        <v>112.6</v>
      </c>
    </row>
    <row r="17" spans="1:22" ht="24" customHeight="1" x14ac:dyDescent="0.25">
      <c r="A17" s="351" t="s">
        <v>243</v>
      </c>
      <c r="B17" s="352" t="s">
        <v>228</v>
      </c>
      <c r="C17" s="353" t="s">
        <v>229</v>
      </c>
      <c r="D17" s="356">
        <v>0.35821634494860871</v>
      </c>
      <c r="E17" s="356">
        <v>0.27818171105349992</v>
      </c>
      <c r="F17" s="356">
        <v>0.46677644323905454</v>
      </c>
      <c r="G17" s="356">
        <v>0.26921004286589095</v>
      </c>
      <c r="H17" s="356">
        <v>0.5508807915057915</v>
      </c>
      <c r="I17" s="356">
        <v>0.32554845270957433</v>
      </c>
      <c r="J17" s="356">
        <v>0.50332360776354168</v>
      </c>
      <c r="K17" s="356">
        <v>0.3619797257006559</v>
      </c>
      <c r="L17" s="356">
        <v>0.31819902800105432</v>
      </c>
      <c r="M17" s="356">
        <v>0.36799324305247272</v>
      </c>
      <c r="N17" s="356">
        <v>0.43821462210768292</v>
      </c>
      <c r="O17" s="356">
        <v>0.43265166673209876</v>
      </c>
      <c r="P17" s="356">
        <v>0.46979929686424915</v>
      </c>
      <c r="Q17" s="356">
        <v>0.30872998308240529</v>
      </c>
      <c r="R17" s="359"/>
      <c r="S17" s="341">
        <v>1.29</v>
      </c>
      <c r="U17" s="355">
        <f t="shared" ref="U17:U23" si="5">S17/2</f>
        <v>0.64500000000000002</v>
      </c>
      <c r="V17" s="341">
        <f t="shared" ref="V17:V23" si="6">S17*2</f>
        <v>2.58</v>
      </c>
    </row>
    <row r="18" spans="1:22" ht="24" customHeight="1" x14ac:dyDescent="0.25">
      <c r="A18" s="351" t="s">
        <v>244</v>
      </c>
      <c r="B18" s="352" t="s">
        <v>228</v>
      </c>
      <c r="C18" s="353" t="s">
        <v>229</v>
      </c>
      <c r="D18" s="354">
        <v>30.171095512659811</v>
      </c>
      <c r="E18" s="354">
        <v>15.48789771388169</v>
      </c>
      <c r="F18" s="354">
        <v>36.015788454087549</v>
      </c>
      <c r="G18" s="354">
        <v>31.03526025719534</v>
      </c>
      <c r="H18" s="354">
        <v>36.263320463320461</v>
      </c>
      <c r="I18" s="354">
        <v>27.567659450820866</v>
      </c>
      <c r="J18" s="354">
        <v>29.02800964099961</v>
      </c>
      <c r="K18" s="354">
        <v>33.718759689922479</v>
      </c>
      <c r="L18" s="354">
        <v>22.829496613270749</v>
      </c>
      <c r="M18" s="354">
        <v>33.525524355641444</v>
      </c>
      <c r="N18" s="354">
        <v>31.915489957070662</v>
      </c>
      <c r="O18" s="354">
        <v>31.373384665461046</v>
      </c>
      <c r="P18" s="354">
        <v>32.86955351776686</v>
      </c>
      <c r="Q18" s="354">
        <v>26.952394277955094</v>
      </c>
      <c r="S18" s="341">
        <v>87</v>
      </c>
      <c r="U18" s="355">
        <f t="shared" si="5"/>
        <v>43.5</v>
      </c>
      <c r="V18" s="341">
        <f t="shared" si="6"/>
        <v>174</v>
      </c>
    </row>
    <row r="19" spans="1:22" ht="24" customHeight="1" x14ac:dyDescent="0.25">
      <c r="A19" s="351" t="s">
        <v>245</v>
      </c>
      <c r="B19" s="352" t="s">
        <v>228</v>
      </c>
      <c r="C19" s="353" t="s">
        <v>229</v>
      </c>
      <c r="D19" s="354">
        <v>4.7546502882928054</v>
      </c>
      <c r="E19" s="354">
        <v>3.5099575771859532</v>
      </c>
      <c r="F19" s="354">
        <v>5.4294072065091052</v>
      </c>
      <c r="G19" s="354">
        <v>4.9328107777097365</v>
      </c>
      <c r="H19" s="354">
        <v>5.837789575289575</v>
      </c>
      <c r="I19" s="354">
        <v>4.4628795583321228</v>
      </c>
      <c r="J19" s="354">
        <v>5.807877711531142</v>
      </c>
      <c r="K19" s="354">
        <v>5.0080739415623139</v>
      </c>
      <c r="L19" s="354">
        <v>4.1323039327393793</v>
      </c>
      <c r="M19" s="354">
        <v>5.1811089921094204</v>
      </c>
      <c r="N19" s="354">
        <v>5.1503345668108489</v>
      </c>
      <c r="O19" s="354">
        <v>5.4079758265467284</v>
      </c>
      <c r="P19" s="354">
        <v>5.4574311954056567</v>
      </c>
      <c r="Q19" s="354">
        <v>4.4784304636975314</v>
      </c>
      <c r="S19" s="341">
        <v>20</v>
      </c>
      <c r="U19" s="355">
        <f t="shared" si="5"/>
        <v>10</v>
      </c>
      <c r="V19" s="341">
        <f t="shared" si="6"/>
        <v>40</v>
      </c>
    </row>
    <row r="20" spans="1:22" ht="24" customHeight="1" x14ac:dyDescent="0.25">
      <c r="A20" s="351" t="s">
        <v>246</v>
      </c>
      <c r="B20" s="352" t="s">
        <v>228</v>
      </c>
      <c r="C20" s="353" t="s">
        <v>229</v>
      </c>
      <c r="D20" s="354">
        <v>99.723063424417163</v>
      </c>
      <c r="E20" s="354">
        <v>79.422224840914467</v>
      </c>
      <c r="F20" s="354">
        <v>108.98692367299493</v>
      </c>
      <c r="G20" s="354">
        <v>84.844886711573793</v>
      </c>
      <c r="H20" s="354">
        <v>122.02615830115829</v>
      </c>
      <c r="I20" s="354">
        <v>90.200348685166361</v>
      </c>
      <c r="J20" s="354">
        <v>132.19638462514268</v>
      </c>
      <c r="K20" s="354">
        <v>97.592188431723343</v>
      </c>
      <c r="L20" s="354">
        <v>89.572644132665815</v>
      </c>
      <c r="M20" s="354">
        <v>96.915905192284356</v>
      </c>
      <c r="N20" s="354">
        <v>106.11325349316232</v>
      </c>
      <c r="O20" s="354">
        <v>114.89428652843301</v>
      </c>
      <c r="P20" s="354">
        <v>115.73313250592827</v>
      </c>
      <c r="Q20" s="354">
        <v>88.014912167344491</v>
      </c>
      <c r="S20" s="341">
        <v>301</v>
      </c>
      <c r="U20" s="355">
        <f t="shared" si="5"/>
        <v>150.5</v>
      </c>
      <c r="V20" s="341">
        <f t="shared" si="6"/>
        <v>602</v>
      </c>
    </row>
    <row r="21" spans="1:22" ht="24" customHeight="1" x14ac:dyDescent="0.25">
      <c r="A21" s="351" t="s">
        <v>247</v>
      </c>
      <c r="B21" s="352" t="s">
        <v>248</v>
      </c>
      <c r="C21" s="353" t="s">
        <v>229</v>
      </c>
      <c r="D21" s="356">
        <v>9.9837051892704948E-2</v>
      </c>
      <c r="E21" s="356">
        <v>9.9528635399481521E-2</v>
      </c>
      <c r="F21" s="356">
        <v>9.8876404494382023E-2</v>
      </c>
      <c r="G21" s="356">
        <v>9.9877526025719546E-2</v>
      </c>
      <c r="H21" s="356">
        <v>9.9927606177606168E-2</v>
      </c>
      <c r="I21" s="356">
        <v>0.10000000000000002</v>
      </c>
      <c r="J21" s="356">
        <v>0.1</v>
      </c>
      <c r="K21" s="356">
        <v>9.9928443649373894E-2</v>
      </c>
      <c r="L21" s="356">
        <v>9.9682843646093228E-2</v>
      </c>
      <c r="M21" s="356">
        <v>9.9376965260050784E-2</v>
      </c>
      <c r="N21" s="356">
        <v>9.9963803088803094E-2</v>
      </c>
      <c r="O21" s="356">
        <v>9.996422182468695E-2</v>
      </c>
      <c r="P21" s="356">
        <v>9.9660265641173279E-2</v>
      </c>
      <c r="Q21" s="356">
        <v>9.9833651268643742E-2</v>
      </c>
      <c r="S21" s="341">
        <v>0.1</v>
      </c>
      <c r="U21" s="355">
        <f t="shared" si="5"/>
        <v>0.05</v>
      </c>
      <c r="V21" s="341">
        <f t="shared" si="6"/>
        <v>0.2</v>
      </c>
    </row>
    <row r="22" spans="1:22" ht="24" customHeight="1" x14ac:dyDescent="0.25">
      <c r="A22" s="351" t="s">
        <v>249</v>
      </c>
      <c r="B22" s="352" t="s">
        <v>228</v>
      </c>
      <c r="C22" s="353" t="s">
        <v>229</v>
      </c>
      <c r="D22" s="354">
        <v>0.70826648282777649</v>
      </c>
      <c r="E22" s="354">
        <v>0.73772684421399959</v>
      </c>
      <c r="F22" s="354">
        <v>0.67209414955443614</v>
      </c>
      <c r="G22" s="354">
        <v>0.7554011022657684</v>
      </c>
      <c r="H22" s="354">
        <v>0.78418194980694966</v>
      </c>
      <c r="I22" s="354">
        <v>0.63592910068284181</v>
      </c>
      <c r="J22" s="354">
        <v>0.76428390206774066</v>
      </c>
      <c r="K22" s="354">
        <v>0.75706618962432914</v>
      </c>
      <c r="L22" s="354">
        <v>0.72299666352088798</v>
      </c>
      <c r="M22" s="354">
        <v>0.71374762591010232</v>
      </c>
      <c r="N22" s="354">
        <v>0.71005552524489568</v>
      </c>
      <c r="O22" s="354">
        <v>0.76067504584603496</v>
      </c>
      <c r="P22" s="354">
        <v>0.73220662106422574</v>
      </c>
      <c r="Q22" s="354">
        <v>0.72153080919673473</v>
      </c>
      <c r="S22" s="341">
        <v>2.25</v>
      </c>
      <c r="U22" s="355">
        <f t="shared" si="5"/>
        <v>1.125</v>
      </c>
      <c r="V22" s="341">
        <f t="shared" si="6"/>
        <v>4.5</v>
      </c>
    </row>
    <row r="23" spans="1:22" ht="24" customHeight="1" x14ac:dyDescent="0.25">
      <c r="A23" s="351" t="s">
        <v>250</v>
      </c>
      <c r="B23" s="352" t="s">
        <v>228</v>
      </c>
      <c r="C23" s="353" t="s">
        <v>229</v>
      </c>
      <c r="D23" s="356">
        <v>0.58972800200551512</v>
      </c>
      <c r="E23" s="356">
        <v>0.63833961819467333</v>
      </c>
      <c r="F23" s="356">
        <v>0.62265594730724516</v>
      </c>
      <c r="G23" s="356">
        <v>0.6742314758113902</v>
      </c>
      <c r="H23" s="356">
        <v>0.7210907335907335</v>
      </c>
      <c r="I23" s="356">
        <v>0.53548597995060299</v>
      </c>
      <c r="J23" s="356">
        <v>0.57168590638081929</v>
      </c>
      <c r="K23" s="356">
        <v>0.54810971973762668</v>
      </c>
      <c r="L23" s="356">
        <v>0.61403381010009417</v>
      </c>
      <c r="M23" s="356">
        <v>0.64844371155931768</v>
      </c>
      <c r="N23" s="356">
        <v>0.6282883567706683</v>
      </c>
      <c r="O23" s="356">
        <v>0.55989781305922293</v>
      </c>
      <c r="P23" s="356">
        <v>0.62629014732107824</v>
      </c>
      <c r="Q23" s="356">
        <v>0.59904169842357324</v>
      </c>
      <c r="R23" s="360"/>
      <c r="S23" s="361">
        <v>0.22</v>
      </c>
      <c r="U23" s="355">
        <f t="shared" si="5"/>
        <v>0.11</v>
      </c>
      <c r="V23" s="341">
        <f t="shared" si="6"/>
        <v>0.44</v>
      </c>
    </row>
    <row r="24" spans="1:22" ht="24" customHeight="1" x14ac:dyDescent="0.25">
      <c r="A24" s="351" t="s">
        <v>251</v>
      </c>
      <c r="B24" s="362" t="s">
        <v>236</v>
      </c>
      <c r="C24" s="353" t="s">
        <v>224</v>
      </c>
      <c r="D24" s="354">
        <v>36.700000000000003</v>
      </c>
      <c r="E24" s="354">
        <v>33.700000000000003</v>
      </c>
      <c r="F24" s="354">
        <v>40.5</v>
      </c>
      <c r="G24" s="354">
        <v>38.5</v>
      </c>
      <c r="H24" s="354">
        <v>33.5</v>
      </c>
      <c r="I24" s="354">
        <v>45.9</v>
      </c>
      <c r="J24" s="354">
        <v>39.4</v>
      </c>
      <c r="K24" s="354">
        <v>35.299999999999997</v>
      </c>
      <c r="L24" s="354">
        <v>35.200000000000003</v>
      </c>
      <c r="M24" s="354">
        <v>39.5</v>
      </c>
      <c r="N24" s="354">
        <v>39.700000000000003</v>
      </c>
      <c r="O24" s="354">
        <v>37.349999999999994</v>
      </c>
      <c r="P24" s="354">
        <v>37.524999999999999</v>
      </c>
      <c r="Q24" s="354">
        <v>38.349999999999994</v>
      </c>
      <c r="R24" s="363"/>
      <c r="S24" s="364">
        <v>36.700000000000003</v>
      </c>
      <c r="U24" s="341">
        <f>S24-((20/100)*S24)</f>
        <v>29.360000000000003</v>
      </c>
      <c r="V24" s="341">
        <f>S24+((20/100)*S24)</f>
        <v>44.040000000000006</v>
      </c>
    </row>
    <row r="25" spans="1:22" ht="24" customHeight="1" x14ac:dyDescent="0.25">
      <c r="A25" s="351" t="s">
        <v>252</v>
      </c>
      <c r="B25" s="352" t="s">
        <v>253</v>
      </c>
      <c r="C25" s="353" t="s">
        <v>254</v>
      </c>
      <c r="D25" s="357">
        <v>4522.4897217347716</v>
      </c>
      <c r="E25" s="357">
        <v>4343.2492340325252</v>
      </c>
      <c r="F25" s="357">
        <v>3778.2708252615271</v>
      </c>
      <c r="G25" s="357">
        <v>4726.0320881812613</v>
      </c>
      <c r="H25" s="357">
        <v>3262.2058397683395</v>
      </c>
      <c r="I25" s="357">
        <v>4605.8897283161414</v>
      </c>
      <c r="J25" s="357">
        <v>4561.7464163389568</v>
      </c>
      <c r="K25" s="357">
        <v>4388.9737626714368</v>
      </c>
      <c r="L25" s="357">
        <v>4432.8694778836489</v>
      </c>
      <c r="M25" s="357">
        <v>4252.1514567213944</v>
      </c>
      <c r="N25" s="357">
        <v>3934.0477840422404</v>
      </c>
      <c r="O25" s="357">
        <v>4475.3600895051968</v>
      </c>
      <c r="P25" s="357">
        <v>4031.1782007758984</v>
      </c>
      <c r="Q25" s="357">
        <v>4516.0362033003412</v>
      </c>
      <c r="S25" s="341">
        <v>4108</v>
      </c>
      <c r="U25" s="341">
        <f>S25-300</f>
        <v>3808</v>
      </c>
      <c r="V25" s="341">
        <f>S25+300</f>
        <v>4408</v>
      </c>
    </row>
    <row r="26" spans="1:22" ht="24" customHeight="1" x14ac:dyDescent="0.25">
      <c r="A26" s="351" t="s">
        <v>255</v>
      </c>
      <c r="B26" s="352" t="s">
        <v>226</v>
      </c>
      <c r="C26" s="353" t="s">
        <v>224</v>
      </c>
      <c r="D26" s="354">
        <v>43.980471296064174</v>
      </c>
      <c r="E26" s="354">
        <v>43.55712938958284</v>
      </c>
      <c r="F26" s="354">
        <v>36.418655559860518</v>
      </c>
      <c r="G26" s="354">
        <v>45.853239436619717</v>
      </c>
      <c r="H26" s="354">
        <v>32.874360521235516</v>
      </c>
      <c r="I26" s="354">
        <v>43.882304227807637</v>
      </c>
      <c r="J26" s="354">
        <v>43.83702904985411</v>
      </c>
      <c r="K26" s="354">
        <v>42.965545617173532</v>
      </c>
      <c r="L26" s="354">
        <v>43.768800342823511</v>
      </c>
      <c r="M26" s="354">
        <v>41.135947498240114</v>
      </c>
      <c r="N26" s="354">
        <v>38.378332374521577</v>
      </c>
      <c r="O26" s="354">
        <v>43.401287333513821</v>
      </c>
      <c r="P26" s="354">
        <v>39.277629106753579</v>
      </c>
      <c r="Q26" s="354">
        <v>44.064554667795932</v>
      </c>
    </row>
    <row r="27" spans="1:22" ht="24" customHeight="1" x14ac:dyDescent="0.25">
      <c r="A27" s="351" t="s">
        <v>256</v>
      </c>
      <c r="B27" s="352" t="s">
        <v>226</v>
      </c>
      <c r="C27" s="353" t="s">
        <v>224</v>
      </c>
      <c r="D27" s="356">
        <v>6.0710366006517917</v>
      </c>
      <c r="E27" s="356">
        <v>5.9793777987273149</v>
      </c>
      <c r="F27" s="356">
        <v>5.0319004261913989</v>
      </c>
      <c r="G27" s="356">
        <v>6.3671843233312915</v>
      </c>
      <c r="H27" s="356">
        <v>4.398620897683398</v>
      </c>
      <c r="I27" s="356">
        <v>6.1480255702455322</v>
      </c>
      <c r="J27" s="356">
        <v>6.132046175313965</v>
      </c>
      <c r="K27" s="356">
        <v>5.9202027429934407</v>
      </c>
      <c r="L27" s="356">
        <v>6.0252071996895538</v>
      </c>
      <c r="M27" s="356">
        <v>5.6995423747613447</v>
      </c>
      <c r="N27" s="356">
        <v>5.2733232339644651</v>
      </c>
      <c r="O27" s="356">
        <v>6.0261244591537029</v>
      </c>
      <c r="P27" s="356">
        <v>5.4084010249601384</v>
      </c>
      <c r="Q27" s="356">
        <v>6.1036976088243957</v>
      </c>
      <c r="S27" s="341">
        <v>5.2</v>
      </c>
      <c r="T27" s="341">
        <f t="shared" ref="T27" si="7">(20/100)*S27</f>
        <v>1.04</v>
      </c>
      <c r="U27" s="341">
        <f>S27-T27</f>
        <v>4.16</v>
      </c>
      <c r="V27" s="341">
        <f>S27+T27</f>
        <v>6.24</v>
      </c>
    </row>
    <row r="28" spans="1:22" ht="24" customHeight="1" x14ac:dyDescent="0.25">
      <c r="A28" s="351" t="s">
        <v>257</v>
      </c>
      <c r="B28" s="672" t="s">
        <v>253</v>
      </c>
      <c r="C28" s="353" t="s">
        <v>254</v>
      </c>
      <c r="D28" s="357">
        <v>4245.6067936826284</v>
      </c>
      <c r="E28" s="357">
        <v>4099.1650954513316</v>
      </c>
      <c r="F28" s="357">
        <v>3552.9972878729177</v>
      </c>
      <c r="G28" s="357">
        <v>4468.7039804041633</v>
      </c>
      <c r="H28" s="357">
        <v>3082.0682915057914</v>
      </c>
      <c r="I28" s="357">
        <v>4323.038791224757</v>
      </c>
      <c r="J28" s="357">
        <v>4278.8264620068494</v>
      </c>
      <c r="K28" s="357">
        <v>4125.2305307096012</v>
      </c>
      <c r="L28" s="357">
        <v>4172.3859445669805</v>
      </c>
      <c r="M28" s="357">
        <v>4010.8506341385405</v>
      </c>
      <c r="N28" s="357">
        <v>3702.5535413652742</v>
      </c>
      <c r="O28" s="357">
        <v>4202.0284963582253</v>
      </c>
      <c r="P28" s="357">
        <v>3789.8747087670467</v>
      </c>
      <c r="Q28" s="357">
        <v>4254.0345994474628</v>
      </c>
      <c r="S28" s="341">
        <v>3850</v>
      </c>
      <c r="U28" s="341">
        <f>S28-300</f>
        <v>3550</v>
      </c>
      <c r="V28" s="341">
        <f>S28+300</f>
        <v>4150</v>
      </c>
    </row>
    <row r="29" spans="1:22" ht="24" customHeight="1" x14ac:dyDescent="0.25">
      <c r="A29" s="351" t="s">
        <v>258</v>
      </c>
      <c r="B29" s="672"/>
      <c r="C29" s="353" t="s">
        <v>254</v>
      </c>
      <c r="D29" s="357">
        <v>2485.6191004011034</v>
      </c>
      <c r="E29" s="357">
        <v>2532.3964582842327</v>
      </c>
      <c r="F29" s="357">
        <v>1891.2833862843859</v>
      </c>
      <c r="G29" s="357">
        <v>2536.5029479485606</v>
      </c>
      <c r="H29" s="357">
        <v>1865.3254138513512</v>
      </c>
      <c r="I29" s="357">
        <v>2086.3139860525939</v>
      </c>
      <c r="J29" s="357">
        <v>2376.268835976151</v>
      </c>
      <c r="K29" s="357">
        <v>2474.8741533691123</v>
      </c>
      <c r="L29" s="357">
        <v>2509.0077793426681</v>
      </c>
      <c r="M29" s="357">
        <v>2213.8931671164733</v>
      </c>
      <c r="N29" s="357">
        <v>1975.8196999519726</v>
      </c>
      <c r="O29" s="357">
        <v>2425.5714946726316</v>
      </c>
      <c r="P29" s="357">
        <v>2154.6241841282476</v>
      </c>
      <c r="Q29" s="357">
        <v>2407.5218864136245</v>
      </c>
      <c r="S29" s="341">
        <v>2221</v>
      </c>
      <c r="U29" s="341">
        <f t="shared" ref="U29:U31" si="8">S29-300</f>
        <v>1921</v>
      </c>
      <c r="V29" s="341">
        <f t="shared" ref="V29:V31" si="9">S29+300</f>
        <v>2521</v>
      </c>
    </row>
    <row r="30" spans="1:22" ht="24" customHeight="1" x14ac:dyDescent="0.25">
      <c r="A30" s="351" t="s">
        <v>259</v>
      </c>
      <c r="B30" s="362" t="s">
        <v>234</v>
      </c>
      <c r="C30" s="358" t="s">
        <v>254</v>
      </c>
      <c r="D30" s="357">
        <v>4507.6717222361503</v>
      </c>
      <c r="E30" s="357">
        <v>4132.5301673344338</v>
      </c>
      <c r="F30" s="357">
        <v>3869.4719101123592</v>
      </c>
      <c r="G30" s="357">
        <v>4764.4264543784439</v>
      </c>
      <c r="H30" s="357">
        <v>3307.3501447876442</v>
      </c>
      <c r="I30" s="357">
        <v>4598.3902368153431</v>
      </c>
      <c r="J30" s="357">
        <v>4533.4228085754139</v>
      </c>
      <c r="K30" s="357">
        <v>4331.8250447227201</v>
      </c>
      <c r="L30" s="357">
        <v>4320.1009447852921</v>
      </c>
      <c r="M30" s="357">
        <v>4316.949182245402</v>
      </c>
      <c r="N30" s="357">
        <v>3952.8701908014937</v>
      </c>
      <c r="O30" s="357">
        <v>4432.6239266490666</v>
      </c>
      <c r="P30" s="357">
        <v>4054.4791464278924</v>
      </c>
      <c r="Q30" s="357">
        <v>4456.7929758127357</v>
      </c>
      <c r="S30" s="341">
        <v>3850</v>
      </c>
      <c r="U30" s="341">
        <f t="shared" si="8"/>
        <v>3550</v>
      </c>
      <c r="V30" s="341">
        <f t="shared" si="9"/>
        <v>4150</v>
      </c>
    </row>
    <row r="31" spans="1:22" ht="24" customHeight="1" x14ac:dyDescent="0.25">
      <c r="A31" s="351" t="s">
        <v>260</v>
      </c>
      <c r="B31" s="362" t="s">
        <v>234</v>
      </c>
      <c r="C31" s="358" t="s">
        <v>254</v>
      </c>
      <c r="D31" s="357">
        <v>2651.5062001754832</v>
      </c>
      <c r="E31" s="357">
        <v>2554.5175009427298</v>
      </c>
      <c r="F31" s="357">
        <v>2079.5857865168537</v>
      </c>
      <c r="G31" s="357">
        <v>2718.3722694427429</v>
      </c>
      <c r="H31" s="357">
        <v>2015.1378462837833</v>
      </c>
      <c r="I31" s="357">
        <v>2235.279118117101</v>
      </c>
      <c r="J31" s="357">
        <v>2530.5542219967015</v>
      </c>
      <c r="K31" s="357">
        <v>2608.5408039355998</v>
      </c>
      <c r="L31" s="357">
        <v>2603.0118505591063</v>
      </c>
      <c r="M31" s="357">
        <v>2398.979027979798</v>
      </c>
      <c r="N31" s="357">
        <v>2125.2084822004422</v>
      </c>
      <c r="O31" s="357">
        <v>2569.5475129661509</v>
      </c>
      <c r="P31" s="357">
        <v>2319.1960137432052</v>
      </c>
      <c r="Q31" s="357">
        <v>2529.1774231095433</v>
      </c>
      <c r="S31" s="341">
        <v>2221</v>
      </c>
      <c r="U31" s="341">
        <f t="shared" si="8"/>
        <v>1921</v>
      </c>
      <c r="V31" s="341">
        <f t="shared" si="9"/>
        <v>2521</v>
      </c>
    </row>
  </sheetData>
  <mergeCells count="8">
    <mergeCell ref="B12:B14"/>
    <mergeCell ref="B28:B29"/>
    <mergeCell ref="D1:G1"/>
    <mergeCell ref="H1:K1"/>
    <mergeCell ref="D2:G2"/>
    <mergeCell ref="H2:K2"/>
    <mergeCell ref="D3:G3"/>
    <mergeCell ref="H3:K3"/>
  </mergeCells>
  <conditionalFormatting sqref="D5">
    <cfRule type="expression" dxfId="212" priority="97">
      <formula>D5&lt;$V$5</formula>
    </cfRule>
    <cfRule type="expression" dxfId="211" priority="98">
      <formula>D5&gt;$U$5</formula>
    </cfRule>
  </conditionalFormatting>
  <conditionalFormatting sqref="E5:K5">
    <cfRule type="expression" dxfId="210" priority="95">
      <formula>E5&lt;$V$5</formula>
    </cfRule>
    <cfRule type="expression" dxfId="209" priority="96">
      <formula>E5&gt;$U$5</formula>
    </cfRule>
  </conditionalFormatting>
  <conditionalFormatting sqref="D9">
    <cfRule type="expression" dxfId="208" priority="93">
      <formula>D9&lt;$V$9</formula>
    </cfRule>
    <cfRule type="expression" dxfId="207" priority="94">
      <formula>D9&gt;$U$9</formula>
    </cfRule>
  </conditionalFormatting>
  <conditionalFormatting sqref="E9:K9">
    <cfRule type="expression" dxfId="206" priority="91">
      <formula>E9&lt;$V$9</formula>
    </cfRule>
    <cfRule type="expression" dxfId="205" priority="92">
      <formula>E9&gt;$U$9</formula>
    </cfRule>
  </conditionalFormatting>
  <conditionalFormatting sqref="D10">
    <cfRule type="expression" dxfId="204" priority="89">
      <formula>D10&lt;$V$10</formula>
    </cfRule>
    <cfRule type="expression" dxfId="203" priority="90">
      <formula>D10&gt;$U$10</formula>
    </cfRule>
  </conditionalFormatting>
  <conditionalFormatting sqref="E10:K10">
    <cfRule type="expression" dxfId="202" priority="87">
      <formula>E10&lt;$V$10</formula>
    </cfRule>
    <cfRule type="expression" dxfId="201" priority="88">
      <formula>E10&gt;$U$10</formula>
    </cfRule>
  </conditionalFormatting>
  <conditionalFormatting sqref="D11">
    <cfRule type="expression" dxfId="200" priority="85">
      <formula>D11&lt;$V$11</formula>
    </cfRule>
    <cfRule type="expression" dxfId="199" priority="86">
      <formula>D11&gt;$U$11</formula>
    </cfRule>
  </conditionalFormatting>
  <conditionalFormatting sqref="E11:K11">
    <cfRule type="expression" dxfId="198" priority="83">
      <formula>E11&lt;$V$11</formula>
    </cfRule>
    <cfRule type="expression" dxfId="197" priority="84">
      <formula>E11&gt;$U$11</formula>
    </cfRule>
  </conditionalFormatting>
  <conditionalFormatting sqref="D12:K12">
    <cfRule type="cellIs" dxfId="196" priority="81" operator="lessThan">
      <formula>$U$12</formula>
    </cfRule>
    <cfRule type="cellIs" dxfId="195" priority="82" operator="greaterThan">
      <formula>$V$12</formula>
    </cfRule>
  </conditionalFormatting>
  <conditionalFormatting sqref="D13:K13">
    <cfRule type="cellIs" dxfId="194" priority="79" operator="lessThan">
      <formula>$U$13</formula>
    </cfRule>
    <cfRule type="cellIs" dxfId="193" priority="80" operator="greaterThan">
      <formula>$V$13</formula>
    </cfRule>
  </conditionalFormatting>
  <conditionalFormatting sqref="D14:K14">
    <cfRule type="cellIs" dxfId="192" priority="77" operator="lessThan">
      <formula>$U$14</formula>
    </cfRule>
    <cfRule type="cellIs" dxfId="191" priority="78" operator="greaterThan">
      <formula>$V$14</formula>
    </cfRule>
  </conditionalFormatting>
  <conditionalFormatting sqref="D16:K16">
    <cfRule type="cellIs" dxfId="190" priority="75" operator="lessThan">
      <formula>$U$16</formula>
    </cfRule>
    <cfRule type="cellIs" dxfId="189" priority="76" operator="greaterThan">
      <formula>$V$16</formula>
    </cfRule>
  </conditionalFormatting>
  <conditionalFormatting sqref="D17:K17">
    <cfRule type="cellIs" dxfId="188" priority="73" operator="lessThan">
      <formula>$U$17</formula>
    </cfRule>
    <cfRule type="cellIs" dxfId="187" priority="74" operator="greaterThan">
      <formula>$V$17</formula>
    </cfRule>
  </conditionalFormatting>
  <conditionalFormatting sqref="D18:K18">
    <cfRule type="cellIs" dxfId="186" priority="71" operator="lessThan">
      <formula>$U$18</formula>
    </cfRule>
    <cfRule type="cellIs" dxfId="185" priority="72" operator="greaterThan">
      <formula>$V$18</formula>
    </cfRule>
  </conditionalFormatting>
  <conditionalFormatting sqref="D19:K19">
    <cfRule type="cellIs" dxfId="184" priority="69" operator="lessThan">
      <formula>$U$19</formula>
    </cfRule>
    <cfRule type="cellIs" dxfId="183" priority="70" operator="greaterThan">
      <formula>$V$19</formula>
    </cfRule>
  </conditionalFormatting>
  <conditionalFormatting sqref="D20:K20">
    <cfRule type="cellIs" dxfId="182" priority="67" operator="lessThan">
      <formula>$U$20</formula>
    </cfRule>
    <cfRule type="cellIs" dxfId="181" priority="68" operator="greaterThan">
      <formula>$V$20</formula>
    </cfRule>
  </conditionalFormatting>
  <conditionalFormatting sqref="D21:K21">
    <cfRule type="cellIs" dxfId="180" priority="65" operator="lessThan">
      <formula>$U$21</formula>
    </cfRule>
    <cfRule type="cellIs" dxfId="179" priority="66" operator="greaterThan">
      <formula>$V$21</formula>
    </cfRule>
  </conditionalFormatting>
  <conditionalFormatting sqref="D22:K22">
    <cfRule type="cellIs" dxfId="178" priority="63" operator="lessThan">
      <formula>$U$22</formula>
    </cfRule>
    <cfRule type="cellIs" dxfId="177" priority="64" operator="greaterThan">
      <formula>$V$22</formula>
    </cfRule>
  </conditionalFormatting>
  <conditionalFormatting sqref="D23:K23">
    <cfRule type="cellIs" dxfId="176" priority="61" operator="lessThan">
      <formula>$U$23</formula>
    </cfRule>
    <cfRule type="cellIs" dxfId="175" priority="62" operator="greaterThan">
      <formula>$V$23</formula>
    </cfRule>
  </conditionalFormatting>
  <conditionalFormatting sqref="D24:K24">
    <cfRule type="cellIs" dxfId="174" priority="59" operator="lessThan">
      <formula>$U$24</formula>
    </cfRule>
    <cfRule type="cellIs" dxfId="173" priority="60" operator="greaterThan">
      <formula>$V$24</formula>
    </cfRule>
  </conditionalFormatting>
  <conditionalFormatting sqref="D25:K25">
    <cfRule type="cellIs" dxfId="172" priority="57" operator="lessThan">
      <formula>$U$25</formula>
    </cfRule>
    <cfRule type="cellIs" dxfId="171" priority="58" operator="greaterThan">
      <formula>$V$25</formula>
    </cfRule>
  </conditionalFormatting>
  <conditionalFormatting sqref="D27:K27">
    <cfRule type="cellIs" dxfId="170" priority="55" operator="lessThan">
      <formula>$U$27</formula>
    </cfRule>
    <cfRule type="cellIs" dxfId="169" priority="56" operator="greaterThan">
      <formula>$V$27</formula>
    </cfRule>
  </conditionalFormatting>
  <conditionalFormatting sqref="D28">
    <cfRule type="cellIs" dxfId="168" priority="53" operator="lessThan">
      <formula>$U$28</formula>
    </cfRule>
    <cfRule type="cellIs" dxfId="167" priority="54" operator="greaterThan">
      <formula>$V$28</formula>
    </cfRule>
  </conditionalFormatting>
  <conditionalFormatting sqref="E28:K28">
    <cfRule type="cellIs" dxfId="166" priority="51" operator="lessThan">
      <formula>$U$28</formula>
    </cfRule>
    <cfRule type="cellIs" dxfId="165" priority="52" operator="greaterThan">
      <formula>$V$28</formula>
    </cfRule>
  </conditionalFormatting>
  <conditionalFormatting sqref="D29:K29">
    <cfRule type="cellIs" dxfId="164" priority="49" operator="lessThan">
      <formula>$U$29</formula>
    </cfRule>
    <cfRule type="cellIs" dxfId="163" priority="50" operator="greaterThan">
      <formula>$V$29</formula>
    </cfRule>
  </conditionalFormatting>
  <conditionalFormatting sqref="D30:K30">
    <cfRule type="cellIs" dxfId="162" priority="47" operator="lessThan">
      <formula>$U$30</formula>
    </cfRule>
    <cfRule type="cellIs" dxfId="161" priority="48" operator="greaterThan">
      <formula>$V$30</formula>
    </cfRule>
  </conditionalFormatting>
  <conditionalFormatting sqref="D31:K31">
    <cfRule type="cellIs" dxfId="160" priority="45" operator="lessThan">
      <formula>$U$31</formula>
    </cfRule>
    <cfRule type="cellIs" dxfId="159" priority="46" operator="greaterThan">
      <formula>$V$31</formula>
    </cfRule>
  </conditionalFormatting>
  <conditionalFormatting sqref="L5:Q5">
    <cfRule type="expression" dxfId="158" priority="43">
      <formula>L5&lt;$V$5</formula>
    </cfRule>
    <cfRule type="expression" dxfId="157" priority="44">
      <formula>L5&gt;$U$5</formula>
    </cfRule>
  </conditionalFormatting>
  <conditionalFormatting sqref="L9:Q9">
    <cfRule type="expression" dxfId="156" priority="41">
      <formula>L9&lt;$V$9</formula>
    </cfRule>
    <cfRule type="expression" dxfId="155" priority="42">
      <formula>L9&gt;$U$9</formula>
    </cfRule>
  </conditionalFormatting>
  <conditionalFormatting sqref="L10:Q10">
    <cfRule type="expression" dxfId="154" priority="39">
      <formula>L10&lt;$V$10</formula>
    </cfRule>
    <cfRule type="expression" dxfId="153" priority="40">
      <formula>L10&gt;$U$10</formula>
    </cfRule>
  </conditionalFormatting>
  <conditionalFormatting sqref="L11:Q11">
    <cfRule type="expression" dxfId="152" priority="37">
      <formula>L11&lt;$V$11</formula>
    </cfRule>
    <cfRule type="expression" dxfId="151" priority="38">
      <formula>L11&gt;$U$11</formula>
    </cfRule>
  </conditionalFormatting>
  <conditionalFormatting sqref="L12:Q12">
    <cfRule type="cellIs" dxfId="150" priority="35" operator="lessThan">
      <formula>$U$12</formula>
    </cfRule>
    <cfRule type="cellIs" dxfId="149" priority="36" operator="greaterThan">
      <formula>$V$12</formula>
    </cfRule>
  </conditionalFormatting>
  <conditionalFormatting sqref="L13:Q13">
    <cfRule type="cellIs" dxfId="148" priority="33" operator="lessThan">
      <formula>$U$13</formula>
    </cfRule>
    <cfRule type="cellIs" dxfId="147" priority="34" operator="greaterThan">
      <formula>$V$13</formula>
    </cfRule>
  </conditionalFormatting>
  <conditionalFormatting sqref="L14:Q14">
    <cfRule type="cellIs" dxfId="146" priority="31" operator="lessThan">
      <formula>$U$14</formula>
    </cfRule>
    <cfRule type="cellIs" dxfId="145" priority="32" operator="greaterThan">
      <formula>$V$14</formula>
    </cfRule>
  </conditionalFormatting>
  <conditionalFormatting sqref="L16:Q16">
    <cfRule type="cellIs" dxfId="144" priority="29" operator="lessThan">
      <formula>$U$16</formula>
    </cfRule>
    <cfRule type="cellIs" dxfId="143" priority="30" operator="greaterThan">
      <formula>$V$16</formula>
    </cfRule>
  </conditionalFormatting>
  <conditionalFormatting sqref="L17:Q17">
    <cfRule type="cellIs" dxfId="142" priority="27" operator="lessThan">
      <formula>$U$17</formula>
    </cfRule>
    <cfRule type="cellIs" dxfId="141" priority="28" operator="greaterThan">
      <formula>$V$17</formula>
    </cfRule>
  </conditionalFormatting>
  <conditionalFormatting sqref="L18:Q18">
    <cfRule type="cellIs" dxfId="140" priority="25" operator="lessThan">
      <formula>$U$18</formula>
    </cfRule>
    <cfRule type="cellIs" dxfId="139" priority="26" operator="greaterThan">
      <formula>$V$18</formula>
    </cfRule>
  </conditionalFormatting>
  <conditionalFormatting sqref="L19:Q19">
    <cfRule type="cellIs" dxfId="138" priority="23" operator="lessThan">
      <formula>$U$19</formula>
    </cfRule>
    <cfRule type="cellIs" dxfId="137" priority="24" operator="greaterThan">
      <formula>$V$19</formula>
    </cfRule>
  </conditionalFormatting>
  <conditionalFormatting sqref="L20:Q20">
    <cfRule type="cellIs" dxfId="136" priority="21" operator="lessThan">
      <formula>$U$20</formula>
    </cfRule>
    <cfRule type="cellIs" dxfId="135" priority="22" operator="greaterThan">
      <formula>$V$20</formula>
    </cfRule>
  </conditionalFormatting>
  <conditionalFormatting sqref="L21:Q21">
    <cfRule type="cellIs" dxfId="134" priority="19" operator="lessThan">
      <formula>$U$21</formula>
    </cfRule>
    <cfRule type="cellIs" dxfId="133" priority="20" operator="greaterThan">
      <formula>$V$21</formula>
    </cfRule>
  </conditionalFormatting>
  <conditionalFormatting sqref="L22:Q22">
    <cfRule type="cellIs" dxfId="132" priority="17" operator="lessThan">
      <formula>$U$22</formula>
    </cfRule>
    <cfRule type="cellIs" dxfId="131" priority="18" operator="greaterThan">
      <formula>$V$22</formula>
    </cfRule>
  </conditionalFormatting>
  <conditionalFormatting sqref="L23:Q23">
    <cfRule type="cellIs" dxfId="130" priority="15" operator="lessThan">
      <formula>$U$23</formula>
    </cfRule>
    <cfRule type="cellIs" dxfId="129" priority="16" operator="greaterThan">
      <formula>$V$23</formula>
    </cfRule>
  </conditionalFormatting>
  <conditionalFormatting sqref="L24:Q24">
    <cfRule type="cellIs" dxfId="128" priority="13" operator="lessThan">
      <formula>$U$24</formula>
    </cfRule>
    <cfRule type="cellIs" dxfId="127" priority="14" operator="greaterThan">
      <formula>$V$24</formula>
    </cfRule>
  </conditionalFormatting>
  <conditionalFormatting sqref="L25:Q25">
    <cfRule type="cellIs" dxfId="126" priority="11" operator="lessThan">
      <formula>$U$25</formula>
    </cfRule>
    <cfRule type="cellIs" dxfId="125" priority="12" operator="greaterThan">
      <formula>$V$25</formula>
    </cfRule>
  </conditionalFormatting>
  <conditionalFormatting sqref="L27:Q27">
    <cfRule type="cellIs" dxfId="124" priority="9" operator="lessThan">
      <formula>$U$27</formula>
    </cfRule>
    <cfRule type="cellIs" dxfId="123" priority="10" operator="greaterThan">
      <formula>$V$27</formula>
    </cfRule>
  </conditionalFormatting>
  <conditionalFormatting sqref="L28:Q28">
    <cfRule type="cellIs" dxfId="122" priority="7" operator="lessThan">
      <formula>$U$28</formula>
    </cfRule>
    <cfRule type="cellIs" dxfId="121" priority="8" operator="greaterThan">
      <formula>$V$28</formula>
    </cfRule>
  </conditionalFormatting>
  <conditionalFormatting sqref="L29:Q29">
    <cfRule type="cellIs" dxfId="120" priority="5" operator="lessThan">
      <formula>$U$29</formula>
    </cfRule>
    <cfRule type="cellIs" dxfId="119" priority="6" operator="greaterThan">
      <formula>$V$29</formula>
    </cfRule>
  </conditionalFormatting>
  <conditionalFormatting sqref="L30:Q30">
    <cfRule type="cellIs" dxfId="118" priority="3" operator="lessThan">
      <formula>$U$30</formula>
    </cfRule>
    <cfRule type="cellIs" dxfId="117" priority="4" operator="greaterThan">
      <formula>$V$30</formula>
    </cfRule>
  </conditionalFormatting>
  <conditionalFormatting sqref="L31:Q31">
    <cfRule type="cellIs" dxfId="116" priority="1" operator="lessThan">
      <formula>$U$31</formula>
    </cfRule>
    <cfRule type="cellIs" dxfId="115" priority="2" operator="greaterThan">
      <formula>$V$31</formula>
    </cfRule>
  </conditionalFormatting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&amp;L&amp;"Rockwell,Gras"&amp;P/&amp;N&amp;C&amp;"Rockwell,Gras"&amp;D&amp;R&amp;"Rockwell,Gras"&amp;F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U36"/>
  <sheetViews>
    <sheetView zoomScale="60" zoomScaleNormal="60" workbookViewId="0">
      <pane xSplit="3" ySplit="4" topLeftCell="D5" activePane="bottomRight" state="frozen"/>
      <selection activeCell="N59" sqref="N59"/>
      <selection pane="topRight" activeCell="N59" sqref="N59"/>
      <selection pane="bottomLeft" activeCell="N59" sqref="N59"/>
      <selection pane="bottomRight" activeCell="N59" sqref="N59"/>
    </sheetView>
  </sheetViews>
  <sheetFormatPr baseColWidth="10" defaultRowHeight="12.75" x14ac:dyDescent="0.2"/>
  <cols>
    <col min="1" max="1" width="23" style="367" bestFit="1" customWidth="1"/>
    <col min="2" max="2" width="12.5703125" style="367" hidden="1" customWidth="1"/>
    <col min="3" max="3" width="12.5703125" style="367" customWidth="1"/>
    <col min="4" max="10" width="15.140625" style="367" customWidth="1"/>
    <col min="11" max="11" width="15.140625" style="398" customWidth="1"/>
    <col min="12" max="18" width="11.42578125" style="368"/>
    <col min="19" max="19" width="4.5703125" style="369" customWidth="1"/>
    <col min="20" max="20" width="11.42578125" style="370"/>
    <col min="21" max="16384" width="11.42578125" style="371"/>
  </cols>
  <sheetData>
    <row r="1" spans="1:20" ht="31.5" customHeight="1" x14ac:dyDescent="0.2">
      <c r="D1" s="680" t="s">
        <v>261</v>
      </c>
      <c r="E1" s="680"/>
      <c r="F1" s="680"/>
      <c r="G1" s="680"/>
      <c r="H1" s="680" t="s">
        <v>261</v>
      </c>
      <c r="I1" s="680"/>
      <c r="J1" s="680"/>
      <c r="K1" s="680"/>
    </row>
    <row r="2" spans="1:20" ht="20.25" customHeight="1" x14ac:dyDescent="0.2">
      <c r="D2" s="681" t="str">
        <f>' SYCTOM Catégories'!D2:G2</f>
        <v>Campagne : Eté 2015</v>
      </c>
      <c r="E2" s="681"/>
      <c r="F2" s="681"/>
      <c r="G2" s="681"/>
      <c r="H2" s="681" t="str">
        <f>D2</f>
        <v>Campagne : Eté 2015</v>
      </c>
      <c r="I2" s="681"/>
      <c r="J2" s="681"/>
      <c r="K2" s="681"/>
    </row>
    <row r="3" spans="1:20" ht="20.25" customHeight="1" x14ac:dyDescent="0.2">
      <c r="A3" s="372"/>
      <c r="B3" s="373"/>
      <c r="C3" s="373"/>
      <c r="D3" s="682" t="s">
        <v>201</v>
      </c>
      <c r="E3" s="682"/>
      <c r="F3" s="682"/>
      <c r="G3" s="682"/>
      <c r="H3" s="682" t="s">
        <v>201</v>
      </c>
      <c r="I3" s="682"/>
      <c r="J3" s="682"/>
      <c r="K3" s="682"/>
    </row>
    <row r="4" spans="1:20" ht="24.95" customHeight="1" x14ac:dyDescent="0.2">
      <c r="A4" s="374" t="s">
        <v>202</v>
      </c>
      <c r="B4" s="375" t="s">
        <v>203</v>
      </c>
      <c r="C4" s="376" t="s">
        <v>204</v>
      </c>
      <c r="D4" s="377" t="s">
        <v>205</v>
      </c>
      <c r="E4" s="377" t="s">
        <v>262</v>
      </c>
      <c r="F4" s="377" t="s">
        <v>207</v>
      </c>
      <c r="G4" s="377" t="s">
        <v>208</v>
      </c>
      <c r="H4" s="377" t="s">
        <v>263</v>
      </c>
      <c r="I4" s="377" t="s">
        <v>264</v>
      </c>
      <c r="J4" s="377" t="s">
        <v>211</v>
      </c>
      <c r="K4" s="377" t="s">
        <v>212</v>
      </c>
      <c r="L4" s="378" t="s">
        <v>213</v>
      </c>
      <c r="M4" s="378" t="s">
        <v>214</v>
      </c>
      <c r="N4" s="378" t="s">
        <v>215</v>
      </c>
      <c r="O4" s="378" t="s">
        <v>216</v>
      </c>
      <c r="P4" s="378" t="s">
        <v>265</v>
      </c>
      <c r="Q4" s="378" t="s">
        <v>217</v>
      </c>
      <c r="R4" s="378" t="s">
        <v>218</v>
      </c>
    </row>
    <row r="5" spans="1:20" ht="24.95" customHeight="1" x14ac:dyDescent="0.2">
      <c r="A5" s="379" t="s">
        <v>222</v>
      </c>
      <c r="B5" s="380" t="s">
        <v>223</v>
      </c>
      <c r="C5" s="381" t="s">
        <v>224</v>
      </c>
      <c r="D5" s="382">
        <v>82.5</v>
      </c>
      <c r="E5" s="382">
        <v>84.5</v>
      </c>
      <c r="F5" s="383">
        <v>81.599999999999994</v>
      </c>
      <c r="G5" s="382">
        <v>82.9</v>
      </c>
      <c r="H5" s="382">
        <v>68.099999999999994</v>
      </c>
      <c r="I5" s="382">
        <v>85.4</v>
      </c>
      <c r="J5" s="383">
        <v>81</v>
      </c>
      <c r="K5" s="382">
        <v>84.8</v>
      </c>
      <c r="L5" s="384">
        <v>83.5</v>
      </c>
      <c r="M5" s="384">
        <v>82.25</v>
      </c>
      <c r="N5" s="384">
        <v>76.75</v>
      </c>
      <c r="O5" s="384">
        <v>82.9</v>
      </c>
      <c r="P5" s="384">
        <v>81.349999999999994</v>
      </c>
      <c r="Q5" s="384">
        <v>78.3</v>
      </c>
      <c r="R5" s="384">
        <v>84.4</v>
      </c>
    </row>
    <row r="6" spans="1:20" ht="24.95" customHeight="1" x14ac:dyDescent="0.2">
      <c r="A6" s="379" t="s">
        <v>225</v>
      </c>
      <c r="B6" s="380" t="s">
        <v>226</v>
      </c>
      <c r="C6" s="381" t="s">
        <v>224</v>
      </c>
      <c r="D6" s="382">
        <v>1.1100000000000001</v>
      </c>
      <c r="E6" s="383">
        <v>1</v>
      </c>
      <c r="F6" s="382">
        <v>0.56999999999999995</v>
      </c>
      <c r="G6" s="382">
        <v>0.76</v>
      </c>
      <c r="H6" s="382">
        <v>0.45</v>
      </c>
      <c r="I6" s="382">
        <v>1.1000000000000001</v>
      </c>
      <c r="J6" s="382">
        <v>1.36</v>
      </c>
      <c r="K6" s="382">
        <v>1.19</v>
      </c>
      <c r="L6" s="385">
        <v>1.0550000000000002</v>
      </c>
      <c r="M6" s="385">
        <v>0.66500000000000004</v>
      </c>
      <c r="N6" s="385">
        <v>0.77500000000000002</v>
      </c>
      <c r="O6" s="385">
        <v>1.2749999999999999</v>
      </c>
      <c r="P6" s="384">
        <v>0.94250000000000012</v>
      </c>
      <c r="Q6" s="385">
        <v>0.87250000000000005</v>
      </c>
      <c r="R6" s="385">
        <v>1.0125000000000002</v>
      </c>
    </row>
    <row r="7" spans="1:20" ht="24.95" customHeight="1" x14ac:dyDescent="0.2">
      <c r="A7" s="379" t="s">
        <v>227</v>
      </c>
      <c r="B7" s="380" t="s">
        <v>228</v>
      </c>
      <c r="C7" s="381" t="s">
        <v>229</v>
      </c>
      <c r="D7" s="386">
        <v>1774.6</v>
      </c>
      <c r="E7" s="386">
        <v>1663.5</v>
      </c>
      <c r="F7" s="386">
        <v>962.8</v>
      </c>
      <c r="G7" s="386">
        <v>1109.0999999999999</v>
      </c>
      <c r="H7" s="386">
        <v>690</v>
      </c>
      <c r="I7" s="386">
        <v>4082.9</v>
      </c>
      <c r="J7" s="386">
        <v>4088.6</v>
      </c>
      <c r="K7" s="386">
        <v>2573.1999999999998</v>
      </c>
      <c r="L7" s="387">
        <v>1719.05</v>
      </c>
      <c r="M7" s="387">
        <v>1035.9499999999998</v>
      </c>
      <c r="N7" s="387">
        <v>2386.4499999999998</v>
      </c>
      <c r="O7" s="387">
        <v>3330.8999999999996</v>
      </c>
      <c r="P7" s="387">
        <v>2118.0875000000001</v>
      </c>
      <c r="Q7" s="387">
        <v>1879</v>
      </c>
      <c r="R7" s="387">
        <v>2357.1750000000002</v>
      </c>
    </row>
    <row r="8" spans="1:20" ht="24.95" customHeight="1" x14ac:dyDescent="0.2">
      <c r="A8" s="379" t="s">
        <v>230</v>
      </c>
      <c r="B8" s="380" t="s">
        <v>228</v>
      </c>
      <c r="C8" s="381" t="s">
        <v>229</v>
      </c>
      <c r="D8" s="386">
        <v>5587.7</v>
      </c>
      <c r="E8" s="386">
        <v>2363</v>
      </c>
      <c r="F8" s="386">
        <v>3214.2</v>
      </c>
      <c r="G8" s="386">
        <v>4044.3</v>
      </c>
      <c r="H8" s="386">
        <v>2843</v>
      </c>
      <c r="I8" s="386">
        <v>4178.5</v>
      </c>
      <c r="J8" s="386">
        <v>4110.1000000000004</v>
      </c>
      <c r="K8" s="386">
        <v>6885.8</v>
      </c>
      <c r="L8" s="387">
        <v>3975.35</v>
      </c>
      <c r="M8" s="387">
        <v>3629.25</v>
      </c>
      <c r="N8" s="387">
        <v>3510.75</v>
      </c>
      <c r="O8" s="387">
        <v>5497.9500000000007</v>
      </c>
      <c r="P8" s="387">
        <v>4153.3250000000007</v>
      </c>
      <c r="Q8" s="387">
        <v>3938.75</v>
      </c>
      <c r="R8" s="387">
        <v>4367.8999999999996</v>
      </c>
    </row>
    <row r="9" spans="1:20" ht="24.95" customHeight="1" x14ac:dyDescent="0.2">
      <c r="A9" s="379" t="s">
        <v>231</v>
      </c>
      <c r="B9" s="380" t="s">
        <v>232</v>
      </c>
      <c r="C9" s="381" t="s">
        <v>224</v>
      </c>
      <c r="D9" s="382">
        <v>38.200000000000003</v>
      </c>
      <c r="E9" s="382">
        <v>40.1</v>
      </c>
      <c r="F9" s="382">
        <v>42.1</v>
      </c>
      <c r="G9" s="382">
        <v>39.700000000000003</v>
      </c>
      <c r="H9" s="382">
        <v>33.299999999999997</v>
      </c>
      <c r="I9" s="382">
        <v>38.799999999999997</v>
      </c>
      <c r="J9" s="382">
        <v>40.700000000000003</v>
      </c>
      <c r="K9" s="382">
        <v>41.1</v>
      </c>
      <c r="L9" s="384">
        <v>39.150000000000006</v>
      </c>
      <c r="M9" s="384">
        <v>40.900000000000006</v>
      </c>
      <c r="N9" s="384">
        <v>36.049999999999997</v>
      </c>
      <c r="O9" s="384">
        <v>40.900000000000006</v>
      </c>
      <c r="P9" s="384">
        <v>39.250000000000007</v>
      </c>
      <c r="Q9" s="384">
        <v>38.575000000000003</v>
      </c>
      <c r="R9" s="384">
        <v>39.925000000000004</v>
      </c>
    </row>
    <row r="10" spans="1:20" ht="24.95" hidden="1" customHeight="1" x14ac:dyDescent="0.2">
      <c r="A10" s="379" t="s">
        <v>266</v>
      </c>
      <c r="B10" s="676" t="s">
        <v>267</v>
      </c>
      <c r="C10" s="381" t="s">
        <v>224</v>
      </c>
      <c r="D10" s="388"/>
      <c r="E10" s="388"/>
      <c r="F10" s="388"/>
      <c r="G10" s="388"/>
      <c r="H10" s="388"/>
      <c r="I10" s="388"/>
      <c r="J10" s="388"/>
      <c r="K10" s="389"/>
      <c r="L10" s="384" t="e">
        <v>#DIV/0!</v>
      </c>
      <c r="M10" s="384" t="e">
        <v>#DIV/0!</v>
      </c>
      <c r="N10" s="384" t="e">
        <v>#DIV/0!</v>
      </c>
      <c r="O10" s="384" t="e">
        <v>#DIV/0!</v>
      </c>
      <c r="P10" s="384" t="e">
        <v>#DIV/0!</v>
      </c>
      <c r="Q10" s="384" t="e">
        <v>#DIV/0!</v>
      </c>
      <c r="R10" s="384" t="e">
        <v>#DIV/0!</v>
      </c>
    </row>
    <row r="11" spans="1:20" ht="24.95" hidden="1" customHeight="1" x14ac:dyDescent="0.2">
      <c r="A11" s="379" t="s">
        <v>268</v>
      </c>
      <c r="B11" s="676"/>
      <c r="C11" s="381" t="s">
        <v>224</v>
      </c>
      <c r="D11" s="388"/>
      <c r="E11" s="388"/>
      <c r="F11" s="388"/>
      <c r="G11" s="388"/>
      <c r="H11" s="388"/>
      <c r="I11" s="388"/>
      <c r="J11" s="388"/>
      <c r="K11" s="389"/>
      <c r="L11" s="384" t="e">
        <v>#DIV/0!</v>
      </c>
      <c r="M11" s="384" t="e">
        <v>#DIV/0!</v>
      </c>
      <c r="N11" s="384" t="e">
        <v>#DIV/0!</v>
      </c>
      <c r="O11" s="384" t="e">
        <v>#DIV/0!</v>
      </c>
      <c r="P11" s="384" t="e">
        <v>#DIV/0!</v>
      </c>
      <c r="Q11" s="384" t="e">
        <v>#DIV/0!</v>
      </c>
      <c r="R11" s="384" t="e">
        <v>#DIV/0!</v>
      </c>
    </row>
    <row r="12" spans="1:20" ht="24.95" hidden="1" customHeight="1" x14ac:dyDescent="0.2">
      <c r="A12" s="379" t="s">
        <v>269</v>
      </c>
      <c r="B12" s="676"/>
      <c r="C12" s="381" t="s">
        <v>224</v>
      </c>
      <c r="D12" s="388"/>
      <c r="E12" s="388"/>
      <c r="F12" s="388"/>
      <c r="G12" s="388"/>
      <c r="H12" s="388"/>
      <c r="I12" s="388"/>
      <c r="J12" s="388"/>
      <c r="K12" s="389"/>
      <c r="L12" s="384" t="e">
        <v>#DIV/0!</v>
      </c>
      <c r="M12" s="384" t="e">
        <v>#DIV/0!</v>
      </c>
      <c r="N12" s="384" t="e">
        <v>#DIV/0!</v>
      </c>
      <c r="O12" s="384" t="e">
        <v>#DIV/0!</v>
      </c>
      <c r="P12" s="384" t="e">
        <v>#DIV/0!</v>
      </c>
      <c r="Q12" s="384" t="e">
        <v>#DIV/0!</v>
      </c>
      <c r="R12" s="384" t="e">
        <v>#DIV/0!</v>
      </c>
    </row>
    <row r="13" spans="1:20" ht="24.95" customHeight="1" x14ac:dyDescent="0.2">
      <c r="A13" s="379" t="s">
        <v>233</v>
      </c>
      <c r="B13" s="676"/>
      <c r="C13" s="381" t="s">
        <v>224</v>
      </c>
      <c r="D13" s="383">
        <v>1</v>
      </c>
      <c r="E13" s="383">
        <v>1</v>
      </c>
      <c r="F13" s="383">
        <v>0.5</v>
      </c>
      <c r="G13" s="383">
        <v>0.7</v>
      </c>
      <c r="H13" s="383">
        <v>0.4</v>
      </c>
      <c r="I13" s="383">
        <v>1</v>
      </c>
      <c r="J13" s="383">
        <v>1.3</v>
      </c>
      <c r="K13" s="383">
        <v>1.1000000000000001</v>
      </c>
      <c r="L13" s="390">
        <v>1</v>
      </c>
      <c r="M13" s="390">
        <v>0.6</v>
      </c>
      <c r="N13" s="390">
        <v>0.7</v>
      </c>
      <c r="O13" s="390">
        <v>1.2000000000000002</v>
      </c>
      <c r="P13" s="390">
        <v>0.875</v>
      </c>
      <c r="Q13" s="390">
        <v>0.8</v>
      </c>
      <c r="R13" s="390">
        <v>0.95000000000000007</v>
      </c>
    </row>
    <row r="14" spans="1:20" x14ac:dyDescent="0.2">
      <c r="A14" s="379" t="s">
        <v>235</v>
      </c>
      <c r="B14" s="380" t="s">
        <v>234</v>
      </c>
      <c r="C14" s="391" t="s">
        <v>236</v>
      </c>
      <c r="D14" s="392">
        <v>38.200000000000003</v>
      </c>
      <c r="E14" s="392">
        <v>40.1</v>
      </c>
      <c r="F14" s="392">
        <v>84.2</v>
      </c>
      <c r="G14" s="392">
        <v>56.714285714285722</v>
      </c>
      <c r="H14" s="392">
        <v>83.249999999999986</v>
      </c>
      <c r="I14" s="392">
        <v>38.799999999999997</v>
      </c>
      <c r="J14" s="392">
        <v>31.30769230769231</v>
      </c>
      <c r="K14" s="392">
        <v>37.36363636363636</v>
      </c>
      <c r="L14" s="384">
        <v>39.150000000000006</v>
      </c>
      <c r="M14" s="384">
        <v>70.457142857142856</v>
      </c>
      <c r="N14" s="384">
        <v>61.024999999999991</v>
      </c>
      <c r="O14" s="384">
        <v>34.335664335664333</v>
      </c>
      <c r="P14" s="384">
        <v>51.241951798201804</v>
      </c>
      <c r="Q14" s="384">
        <v>59.239423076923075</v>
      </c>
      <c r="R14" s="384">
        <v>43.244480519480518</v>
      </c>
      <c r="T14" s="370">
        <v>8</v>
      </c>
    </row>
    <row r="15" spans="1:20" ht="24" customHeight="1" x14ac:dyDescent="0.2">
      <c r="A15" s="379" t="s">
        <v>270</v>
      </c>
      <c r="B15" s="393"/>
      <c r="C15" s="391"/>
      <c r="D15" s="392">
        <v>40.810810810810807</v>
      </c>
      <c r="E15" s="392">
        <v>50.4</v>
      </c>
      <c r="F15" s="392">
        <v>77.894736842105274</v>
      </c>
      <c r="G15" s="392">
        <v>56.710526315789473</v>
      </c>
      <c r="H15" s="392">
        <v>75.1111111111111</v>
      </c>
      <c r="I15" s="392">
        <v>40.909090909090907</v>
      </c>
      <c r="J15" s="392">
        <v>33.67647058823529</v>
      </c>
      <c r="K15" s="392">
        <v>37.142857142857146</v>
      </c>
      <c r="L15" s="384">
        <v>45.605405405405406</v>
      </c>
      <c r="M15" s="384">
        <v>67.30263157894737</v>
      </c>
      <c r="N15" s="384">
        <v>58.010101010101003</v>
      </c>
      <c r="O15" s="384">
        <v>35.409663865546221</v>
      </c>
      <c r="P15" s="384">
        <v>51.581950465000006</v>
      </c>
      <c r="Q15" s="384">
        <v>56.873282338065621</v>
      </c>
      <c r="R15" s="384">
        <v>46.290618591934383</v>
      </c>
    </row>
    <row r="16" spans="1:20" ht="24.95" customHeight="1" x14ac:dyDescent="0.2">
      <c r="A16" s="379" t="s">
        <v>237</v>
      </c>
      <c r="B16" s="677" t="s">
        <v>238</v>
      </c>
      <c r="C16" s="381" t="s">
        <v>229</v>
      </c>
      <c r="D16" s="386">
        <v>1828</v>
      </c>
      <c r="E16" s="386">
        <v>414</v>
      </c>
      <c r="F16" s="386">
        <v>1342</v>
      </c>
      <c r="G16" s="386">
        <v>840</v>
      </c>
      <c r="H16" s="386">
        <v>1846</v>
      </c>
      <c r="I16" s="386">
        <v>1278</v>
      </c>
      <c r="J16" s="386">
        <v>947</v>
      </c>
      <c r="K16" s="386">
        <v>841</v>
      </c>
      <c r="L16" s="387">
        <v>1121</v>
      </c>
      <c r="M16" s="387">
        <v>1091</v>
      </c>
      <c r="N16" s="387">
        <v>1562</v>
      </c>
      <c r="O16" s="387">
        <v>894</v>
      </c>
      <c r="P16" s="387">
        <v>1167</v>
      </c>
      <c r="Q16" s="387">
        <v>1490.75</v>
      </c>
      <c r="R16" s="387">
        <v>843.25</v>
      </c>
    </row>
    <row r="17" spans="1:21" ht="24.75" customHeight="1" x14ac:dyDescent="0.2">
      <c r="A17" s="379" t="s">
        <v>239</v>
      </c>
      <c r="B17" s="678"/>
      <c r="C17" s="381" t="s">
        <v>229</v>
      </c>
      <c r="D17" s="386">
        <v>4716</v>
      </c>
      <c r="E17" s="386">
        <v>2290</v>
      </c>
      <c r="F17" s="386">
        <v>4494</v>
      </c>
      <c r="G17" s="386">
        <v>3799</v>
      </c>
      <c r="H17" s="386">
        <v>2819</v>
      </c>
      <c r="I17" s="386">
        <v>4687</v>
      </c>
      <c r="J17" s="386">
        <v>4819</v>
      </c>
      <c r="K17" s="386">
        <v>4188</v>
      </c>
      <c r="L17" s="387">
        <v>3503</v>
      </c>
      <c r="M17" s="387">
        <v>4146.5</v>
      </c>
      <c r="N17" s="387">
        <v>3753</v>
      </c>
      <c r="O17" s="387">
        <v>4503.5</v>
      </c>
      <c r="P17" s="387">
        <v>3976.5</v>
      </c>
      <c r="Q17" s="387">
        <v>4212</v>
      </c>
      <c r="R17" s="387">
        <v>3741</v>
      </c>
    </row>
    <row r="18" spans="1:21" ht="24.75" customHeight="1" x14ac:dyDescent="0.2">
      <c r="A18" s="379" t="s">
        <v>240</v>
      </c>
      <c r="B18" s="679"/>
      <c r="C18" s="381" t="s">
        <v>229</v>
      </c>
      <c r="D18" s="382">
        <v>110</v>
      </c>
      <c r="E18" s="382">
        <v>54</v>
      </c>
      <c r="F18" s="382">
        <v>98</v>
      </c>
      <c r="G18" s="382">
        <v>136</v>
      </c>
      <c r="H18" s="382">
        <v>118</v>
      </c>
      <c r="I18" s="382">
        <v>88</v>
      </c>
      <c r="J18" s="382">
        <v>91</v>
      </c>
      <c r="K18" s="382">
        <v>76</v>
      </c>
      <c r="L18" s="384">
        <v>82</v>
      </c>
      <c r="M18" s="384">
        <v>117</v>
      </c>
      <c r="N18" s="384">
        <v>103</v>
      </c>
      <c r="O18" s="384">
        <v>83.5</v>
      </c>
      <c r="P18" s="384">
        <v>96.375</v>
      </c>
      <c r="Q18" s="384">
        <v>104.25</v>
      </c>
      <c r="R18" s="384">
        <v>88.5</v>
      </c>
    </row>
    <row r="19" spans="1:21" ht="24.75" customHeight="1" x14ac:dyDescent="0.2">
      <c r="A19" s="379" t="s">
        <v>241</v>
      </c>
      <c r="B19" s="380" t="s">
        <v>228</v>
      </c>
      <c r="C19" s="381" t="s">
        <v>229</v>
      </c>
      <c r="D19" s="383">
        <v>266</v>
      </c>
      <c r="E19" s="382">
        <v>13</v>
      </c>
      <c r="F19" s="382">
        <v>51.3</v>
      </c>
      <c r="G19" s="382">
        <v>7.9</v>
      </c>
      <c r="H19" s="382">
        <v>8.6</v>
      </c>
      <c r="I19" s="382">
        <v>4.5</v>
      </c>
      <c r="J19" s="382">
        <v>10.1</v>
      </c>
      <c r="K19" s="382">
        <v>6.2</v>
      </c>
      <c r="L19" s="384">
        <v>279</v>
      </c>
      <c r="M19" s="384">
        <v>29.599999999999998</v>
      </c>
      <c r="N19" s="384">
        <v>6.55</v>
      </c>
      <c r="O19" s="384">
        <v>8.15</v>
      </c>
      <c r="P19" s="384">
        <v>80.825000000000003</v>
      </c>
      <c r="Q19" s="384">
        <v>153.75</v>
      </c>
      <c r="R19" s="384">
        <v>7.8999999999999995</v>
      </c>
      <c r="T19" s="370">
        <v>106</v>
      </c>
    </row>
    <row r="20" spans="1:21" ht="24.75" customHeight="1" x14ac:dyDescent="0.2">
      <c r="A20" s="379" t="s">
        <v>242</v>
      </c>
      <c r="B20" s="380" t="s">
        <v>228</v>
      </c>
      <c r="C20" s="381" t="s">
        <v>229</v>
      </c>
      <c r="D20" s="383">
        <v>57</v>
      </c>
      <c r="E20" s="382">
        <v>20.2</v>
      </c>
      <c r="F20" s="382">
        <v>19.600000000000001</v>
      </c>
      <c r="G20" s="382">
        <v>21.6</v>
      </c>
      <c r="H20" s="382">
        <v>25.5</v>
      </c>
      <c r="I20" s="382">
        <v>21.2</v>
      </c>
      <c r="J20" s="382">
        <v>27.1</v>
      </c>
      <c r="K20" s="382">
        <v>34.200000000000003</v>
      </c>
      <c r="L20" s="384">
        <v>108.44999999999999</v>
      </c>
      <c r="M20" s="384">
        <v>20.6</v>
      </c>
      <c r="N20" s="384">
        <v>23.35</v>
      </c>
      <c r="O20" s="384">
        <v>30.650000000000002</v>
      </c>
      <c r="P20" s="384">
        <v>45.762499999999996</v>
      </c>
      <c r="Q20" s="384">
        <v>67.224999999999994</v>
      </c>
      <c r="R20" s="384">
        <v>24.3</v>
      </c>
      <c r="T20" s="370">
        <v>176</v>
      </c>
    </row>
    <row r="21" spans="1:21" ht="24.75" customHeight="1" x14ac:dyDescent="0.2">
      <c r="A21" s="379" t="s">
        <v>243</v>
      </c>
      <c r="B21" s="380" t="s">
        <v>228</v>
      </c>
      <c r="C21" s="381" t="s">
        <v>229</v>
      </c>
      <c r="D21" s="394">
        <v>0.1</v>
      </c>
      <c r="E21" s="382" t="s">
        <v>271</v>
      </c>
      <c r="F21" s="394">
        <v>0.4</v>
      </c>
      <c r="G21" s="382">
        <v>0.1</v>
      </c>
      <c r="H21" s="394" t="s">
        <v>271</v>
      </c>
      <c r="I21" s="394">
        <v>0.1</v>
      </c>
      <c r="J21" s="382" t="s">
        <v>271</v>
      </c>
      <c r="K21" s="394" t="s">
        <v>271</v>
      </c>
      <c r="L21" s="384">
        <v>7.5000000000000011E-2</v>
      </c>
      <c r="M21" s="384">
        <v>7.5000000000000011E-2</v>
      </c>
      <c r="N21" s="384">
        <v>7.5000000000000011E-2</v>
      </c>
      <c r="O21" s="384" t="s">
        <v>271</v>
      </c>
      <c r="P21" s="384">
        <v>6.8750000000000006E-2</v>
      </c>
      <c r="Q21" s="384">
        <v>0.15000000000000002</v>
      </c>
      <c r="R21" s="384">
        <v>7.4999999999999997E-2</v>
      </c>
      <c r="T21" s="370">
        <v>1.8</v>
      </c>
      <c r="U21" s="371" t="s">
        <v>272</v>
      </c>
    </row>
    <row r="22" spans="1:21" ht="24.75" customHeight="1" x14ac:dyDescent="0.2">
      <c r="A22" s="379" t="s">
        <v>244</v>
      </c>
      <c r="B22" s="380" t="s">
        <v>228</v>
      </c>
      <c r="C22" s="381" t="s">
        <v>229</v>
      </c>
      <c r="D22" s="382">
        <v>4.8</v>
      </c>
      <c r="E22" s="382">
        <v>6.3</v>
      </c>
      <c r="F22" s="382">
        <v>17.3</v>
      </c>
      <c r="G22" s="382">
        <v>4.3</v>
      </c>
      <c r="H22" s="382">
        <v>4.3</v>
      </c>
      <c r="I22" s="382">
        <v>2.7</v>
      </c>
      <c r="J22" s="382">
        <v>9.9</v>
      </c>
      <c r="K22" s="382">
        <v>2.7</v>
      </c>
      <c r="L22" s="384">
        <v>5.55</v>
      </c>
      <c r="M22" s="384">
        <v>10.8</v>
      </c>
      <c r="N22" s="384">
        <v>3.5</v>
      </c>
      <c r="O22" s="384">
        <v>6.3000000000000007</v>
      </c>
      <c r="P22" s="384">
        <v>6.5374999999999996</v>
      </c>
      <c r="Q22" s="384">
        <v>9.0750000000000011</v>
      </c>
      <c r="R22" s="384">
        <v>4</v>
      </c>
      <c r="T22" s="370">
        <v>70.599999999999994</v>
      </c>
    </row>
    <row r="23" spans="1:21" ht="24.75" customHeight="1" x14ac:dyDescent="0.2">
      <c r="A23" s="379" t="s">
        <v>245</v>
      </c>
      <c r="B23" s="380" t="s">
        <v>228</v>
      </c>
      <c r="C23" s="381" t="s">
        <v>229</v>
      </c>
      <c r="D23" s="382">
        <v>2.4</v>
      </c>
      <c r="E23" s="382">
        <v>3.9</v>
      </c>
      <c r="F23" s="382">
        <v>3.2</v>
      </c>
      <c r="G23" s="382">
        <v>1.5</v>
      </c>
      <c r="H23" s="382">
        <v>2.7</v>
      </c>
      <c r="I23" s="382">
        <v>1.8</v>
      </c>
      <c r="J23" s="382">
        <v>11.7</v>
      </c>
      <c r="K23" s="382">
        <v>1.3</v>
      </c>
      <c r="L23" s="384">
        <v>3.15</v>
      </c>
      <c r="M23" s="384">
        <v>2.35</v>
      </c>
      <c r="N23" s="384">
        <v>2.25</v>
      </c>
      <c r="O23" s="384">
        <v>6.5</v>
      </c>
      <c r="P23" s="384">
        <v>3.5625</v>
      </c>
      <c r="Q23" s="384">
        <v>5</v>
      </c>
      <c r="R23" s="384">
        <v>2.125</v>
      </c>
      <c r="T23" s="370">
        <v>35.299999999999997</v>
      </c>
    </row>
    <row r="24" spans="1:21" ht="24.75" customHeight="1" x14ac:dyDescent="0.2">
      <c r="A24" s="379" t="s">
        <v>246</v>
      </c>
      <c r="B24" s="380" t="s">
        <v>228</v>
      </c>
      <c r="C24" s="381" t="s">
        <v>229</v>
      </c>
      <c r="D24" s="383">
        <v>409</v>
      </c>
      <c r="E24" s="382">
        <v>69</v>
      </c>
      <c r="F24" s="382">
        <v>240.5</v>
      </c>
      <c r="G24" s="382">
        <v>66.7</v>
      </c>
      <c r="H24" s="382">
        <v>34.200000000000003</v>
      </c>
      <c r="I24" s="382">
        <v>56</v>
      </c>
      <c r="J24" s="382">
        <v>77.599999999999994</v>
      </c>
      <c r="K24" s="382">
        <v>71.400000000000006</v>
      </c>
      <c r="L24" s="384">
        <v>252.65</v>
      </c>
      <c r="M24" s="384">
        <v>153.6</v>
      </c>
      <c r="N24" s="384">
        <v>45.1</v>
      </c>
      <c r="O24" s="384">
        <v>74.5</v>
      </c>
      <c r="P24" s="384">
        <v>131.46250000000001</v>
      </c>
      <c r="Q24" s="384">
        <v>197.15</v>
      </c>
      <c r="R24" s="384">
        <v>65.775000000000006</v>
      </c>
      <c r="T24" s="370">
        <v>353</v>
      </c>
    </row>
    <row r="25" spans="1:21" ht="24.75" customHeight="1" x14ac:dyDescent="0.2">
      <c r="A25" s="379" t="s">
        <v>247</v>
      </c>
      <c r="B25" s="380" t="s">
        <v>248</v>
      </c>
      <c r="C25" s="381" t="s">
        <v>229</v>
      </c>
      <c r="D25" s="382">
        <v>0.1</v>
      </c>
      <c r="E25" s="382">
        <v>0.1</v>
      </c>
      <c r="F25" s="383">
        <v>0.1</v>
      </c>
      <c r="G25" s="383">
        <v>0.1</v>
      </c>
      <c r="H25" s="383">
        <v>0.1</v>
      </c>
      <c r="I25" s="383">
        <v>0.1</v>
      </c>
      <c r="J25" s="383">
        <v>0.1</v>
      </c>
      <c r="K25" s="383">
        <v>0.1</v>
      </c>
      <c r="L25" s="384">
        <v>0.1</v>
      </c>
      <c r="M25" s="384">
        <v>0.1</v>
      </c>
      <c r="N25" s="384">
        <v>0.1</v>
      </c>
      <c r="O25" s="384">
        <v>0.1</v>
      </c>
      <c r="P25" s="384">
        <v>9.9999999999999992E-2</v>
      </c>
      <c r="Q25" s="384">
        <v>0.1</v>
      </c>
      <c r="R25" s="384">
        <v>0.1</v>
      </c>
      <c r="T25" s="370">
        <v>1.2</v>
      </c>
      <c r="U25" s="371" t="s">
        <v>272</v>
      </c>
    </row>
    <row r="26" spans="1:21" ht="24.75" customHeight="1" x14ac:dyDescent="0.2">
      <c r="A26" s="379" t="s">
        <v>249</v>
      </c>
      <c r="B26" s="380" t="s">
        <v>228</v>
      </c>
      <c r="C26" s="381" t="s">
        <v>229</v>
      </c>
      <c r="D26" s="383">
        <v>1</v>
      </c>
      <c r="E26" s="382">
        <v>1.5</v>
      </c>
      <c r="F26" s="383">
        <v>0.3</v>
      </c>
      <c r="G26" s="383">
        <v>0.9</v>
      </c>
      <c r="H26" s="383">
        <v>0.3</v>
      </c>
      <c r="I26" s="383">
        <v>0.9</v>
      </c>
      <c r="J26" s="383">
        <v>1.1000000000000001</v>
      </c>
      <c r="K26" s="383">
        <v>0.5</v>
      </c>
      <c r="L26" s="384">
        <v>1.25</v>
      </c>
      <c r="M26" s="384">
        <v>0.6</v>
      </c>
      <c r="N26" s="384">
        <v>0.6</v>
      </c>
      <c r="O26" s="384">
        <v>0.8</v>
      </c>
      <c r="P26" s="384">
        <v>0.8125</v>
      </c>
      <c r="Q26" s="384">
        <v>0.67500000000000004</v>
      </c>
      <c r="R26" s="384">
        <v>0.95</v>
      </c>
      <c r="T26" s="370">
        <v>10.6</v>
      </c>
    </row>
    <row r="27" spans="1:21" ht="24.75" customHeight="1" x14ac:dyDescent="0.2">
      <c r="A27" s="379" t="s">
        <v>250</v>
      </c>
      <c r="B27" s="380" t="s">
        <v>228</v>
      </c>
      <c r="C27" s="381" t="s">
        <v>229</v>
      </c>
      <c r="D27" s="394" t="s">
        <v>271</v>
      </c>
      <c r="E27" s="394">
        <v>0.3</v>
      </c>
      <c r="F27" s="394">
        <v>1.9</v>
      </c>
      <c r="G27" s="394">
        <v>0.6</v>
      </c>
      <c r="H27" s="394" t="s">
        <v>271</v>
      </c>
      <c r="I27" s="382">
        <v>1.2</v>
      </c>
      <c r="J27" s="394">
        <v>0.9</v>
      </c>
      <c r="K27" s="394">
        <v>1</v>
      </c>
      <c r="L27" s="384">
        <v>0.3</v>
      </c>
      <c r="M27" s="384">
        <v>1.25</v>
      </c>
      <c r="N27" s="384">
        <v>1.2</v>
      </c>
      <c r="O27" s="384">
        <v>0.95</v>
      </c>
      <c r="P27" s="384">
        <v>0.98333333333333339</v>
      </c>
      <c r="Q27" s="384">
        <v>1.4</v>
      </c>
      <c r="R27" s="384">
        <v>0.77499999999999991</v>
      </c>
      <c r="T27" s="370">
        <v>7.1</v>
      </c>
    </row>
    <row r="28" spans="1:21" ht="24.75" customHeight="1" x14ac:dyDescent="0.2">
      <c r="A28" s="379" t="s">
        <v>273</v>
      </c>
      <c r="B28" s="395" t="s">
        <v>234</v>
      </c>
      <c r="C28" s="381" t="s">
        <v>224</v>
      </c>
      <c r="D28" s="396">
        <v>42</v>
      </c>
      <c r="E28" s="396">
        <v>33</v>
      </c>
      <c r="F28" s="396">
        <v>50.7</v>
      </c>
      <c r="G28" s="396">
        <v>41.7</v>
      </c>
      <c r="H28" s="396">
        <v>42.8</v>
      </c>
      <c r="I28" s="396">
        <v>53.2</v>
      </c>
      <c r="J28" s="396">
        <v>45.5</v>
      </c>
      <c r="K28" s="396">
        <v>38</v>
      </c>
      <c r="L28" s="384">
        <v>37.5</v>
      </c>
      <c r="M28" s="384">
        <v>46.2</v>
      </c>
      <c r="N28" s="384">
        <v>48</v>
      </c>
      <c r="O28" s="384">
        <v>41.75</v>
      </c>
      <c r="P28" s="384">
        <v>43.362499999999997</v>
      </c>
      <c r="Q28" s="384">
        <v>45.25</v>
      </c>
      <c r="R28" s="384">
        <v>41.475000000000001</v>
      </c>
      <c r="T28" s="370">
        <v>70</v>
      </c>
    </row>
    <row r="29" spans="1:21" ht="24.75" customHeight="1" x14ac:dyDescent="0.2">
      <c r="A29" s="379" t="s">
        <v>252</v>
      </c>
      <c r="B29" s="380" t="s">
        <v>253</v>
      </c>
      <c r="C29" s="381" t="s">
        <v>254</v>
      </c>
      <c r="D29" s="386">
        <v>4381</v>
      </c>
      <c r="E29" s="386">
        <v>5156</v>
      </c>
      <c r="F29" s="386">
        <v>4090</v>
      </c>
      <c r="G29" s="386">
        <v>4108</v>
      </c>
      <c r="H29" s="386">
        <v>3072</v>
      </c>
      <c r="I29" s="386">
        <v>4475</v>
      </c>
      <c r="J29" s="386">
        <v>4549</v>
      </c>
      <c r="K29" s="386">
        <v>4285</v>
      </c>
      <c r="L29" s="387">
        <v>4768.5</v>
      </c>
      <c r="M29" s="387">
        <v>4099</v>
      </c>
      <c r="N29" s="387">
        <v>3773.5</v>
      </c>
      <c r="O29" s="387">
        <v>4417</v>
      </c>
      <c r="P29" s="387">
        <v>4264.5</v>
      </c>
      <c r="Q29" s="387">
        <v>4023</v>
      </c>
      <c r="R29" s="387">
        <v>4506</v>
      </c>
    </row>
    <row r="30" spans="1:21" ht="24.75" customHeight="1" x14ac:dyDescent="0.2">
      <c r="A30" s="379" t="s">
        <v>255</v>
      </c>
      <c r="B30" s="380" t="s">
        <v>226</v>
      </c>
      <c r="C30" s="381" t="s">
        <v>224</v>
      </c>
      <c r="D30" s="382">
        <v>45.3</v>
      </c>
      <c r="E30" s="382">
        <v>50.4</v>
      </c>
      <c r="F30" s="382">
        <v>44.4</v>
      </c>
      <c r="G30" s="382">
        <v>43.1</v>
      </c>
      <c r="H30" s="382">
        <v>33.799999999999997</v>
      </c>
      <c r="I30" s="382">
        <v>45</v>
      </c>
      <c r="J30" s="382">
        <v>45.8</v>
      </c>
      <c r="K30" s="382">
        <v>44.2</v>
      </c>
      <c r="L30" s="384">
        <v>47.849999999999994</v>
      </c>
      <c r="M30" s="384">
        <v>43.75</v>
      </c>
      <c r="N30" s="384">
        <v>39.4</v>
      </c>
      <c r="O30" s="384">
        <v>45</v>
      </c>
      <c r="P30" s="384">
        <v>44</v>
      </c>
      <c r="Q30" s="384">
        <v>42.324999999999996</v>
      </c>
      <c r="R30" s="384">
        <v>45.674999999999997</v>
      </c>
    </row>
    <row r="31" spans="1:21" ht="25.5" customHeight="1" x14ac:dyDescent="0.2">
      <c r="A31" s="379" t="s">
        <v>256</v>
      </c>
      <c r="B31" s="380" t="s">
        <v>226</v>
      </c>
      <c r="C31" s="381" t="s">
        <v>224</v>
      </c>
      <c r="D31" s="382">
        <v>5.97</v>
      </c>
      <c r="E31" s="382">
        <v>6.98</v>
      </c>
      <c r="F31" s="382">
        <v>5.81</v>
      </c>
      <c r="G31" s="382">
        <v>5.57</v>
      </c>
      <c r="H31" s="382">
        <v>4.09</v>
      </c>
      <c r="I31" s="382">
        <v>6</v>
      </c>
      <c r="J31" s="382">
        <v>6.17</v>
      </c>
      <c r="K31" s="382">
        <v>5.91</v>
      </c>
      <c r="L31" s="385">
        <v>6.4749999999999996</v>
      </c>
      <c r="M31" s="385">
        <v>5.6899999999999995</v>
      </c>
      <c r="N31" s="385">
        <v>5.0449999999999999</v>
      </c>
      <c r="O31" s="385">
        <v>6.04</v>
      </c>
      <c r="P31" s="385">
        <v>5.8125</v>
      </c>
      <c r="Q31" s="385">
        <v>5.51</v>
      </c>
      <c r="R31" s="385">
        <v>6.1150000000000002</v>
      </c>
    </row>
    <row r="32" spans="1:21" ht="25.5" customHeight="1" x14ac:dyDescent="0.2">
      <c r="A32" s="379" t="s">
        <v>274</v>
      </c>
      <c r="B32" s="393" t="s">
        <v>253</v>
      </c>
      <c r="C32" s="381" t="s">
        <v>254</v>
      </c>
      <c r="D32" s="386">
        <v>4087</v>
      </c>
      <c r="E32" s="386">
        <v>4813</v>
      </c>
      <c r="F32" s="386">
        <v>3804</v>
      </c>
      <c r="G32" s="386">
        <v>3834</v>
      </c>
      <c r="H32" s="386">
        <v>2871</v>
      </c>
      <c r="I32" s="386">
        <v>4180</v>
      </c>
      <c r="J32" s="386">
        <v>4245</v>
      </c>
      <c r="K32" s="386">
        <v>3994</v>
      </c>
      <c r="L32" s="387">
        <v>4450</v>
      </c>
      <c r="M32" s="387">
        <v>3819</v>
      </c>
      <c r="N32" s="387">
        <v>3525.5</v>
      </c>
      <c r="O32" s="387">
        <v>4119.5</v>
      </c>
      <c r="P32" s="387">
        <v>3978.5</v>
      </c>
      <c r="Q32" s="387">
        <v>3751.75</v>
      </c>
      <c r="R32" s="387">
        <v>4205.25</v>
      </c>
    </row>
    <row r="33" spans="1:20" x14ac:dyDescent="0.2">
      <c r="D33" s="371"/>
      <c r="E33" s="371"/>
      <c r="F33" s="371"/>
      <c r="G33" s="371"/>
      <c r="H33" s="371"/>
      <c r="I33" s="371"/>
      <c r="J33" s="371"/>
      <c r="K33" s="371"/>
      <c r="L33" s="371"/>
      <c r="M33" s="371"/>
      <c r="N33" s="371"/>
      <c r="O33" s="371"/>
      <c r="P33" s="371"/>
      <c r="Q33" s="371"/>
      <c r="R33" s="371"/>
    </row>
    <row r="34" spans="1:20" ht="26.1" customHeight="1" x14ac:dyDescent="0.2">
      <c r="A34" s="374" t="s">
        <v>202</v>
      </c>
      <c r="B34" s="375" t="s">
        <v>203</v>
      </c>
      <c r="C34" s="376" t="s">
        <v>204</v>
      </c>
      <c r="D34" s="377" t="s">
        <v>275</v>
      </c>
      <c r="E34" s="377" t="s">
        <v>276</v>
      </c>
      <c r="F34" s="377" t="s">
        <v>277</v>
      </c>
      <c r="G34" s="377" t="s">
        <v>278</v>
      </c>
      <c r="H34" s="377" t="s">
        <v>279</v>
      </c>
      <c r="I34" s="377" t="s">
        <v>280</v>
      </c>
      <c r="J34" s="377" t="s">
        <v>281</v>
      </c>
      <c r="K34" s="377" t="s">
        <v>282</v>
      </c>
      <c r="L34" s="384"/>
      <c r="M34" s="384"/>
      <c r="N34" s="384"/>
      <c r="O34" s="384"/>
      <c r="P34" s="384"/>
      <c r="Q34" s="384"/>
      <c r="R34" s="384"/>
    </row>
    <row r="35" spans="1:20" ht="26.1" customHeight="1" x14ac:dyDescent="0.2">
      <c r="A35" s="379" t="s">
        <v>283</v>
      </c>
      <c r="B35" s="397" t="s">
        <v>234</v>
      </c>
      <c r="C35" s="397" t="s">
        <v>224</v>
      </c>
      <c r="D35" s="384">
        <v>47.85</v>
      </c>
      <c r="E35" s="384">
        <v>56.615000000000002</v>
      </c>
      <c r="F35" s="384">
        <v>40.2288</v>
      </c>
      <c r="G35" s="384">
        <v>48.3307</v>
      </c>
      <c r="H35" s="384">
        <v>38.953199999999995</v>
      </c>
      <c r="I35" s="384">
        <v>39.967199999999998</v>
      </c>
      <c r="J35" s="384">
        <v>44.145000000000003</v>
      </c>
      <c r="K35" s="384">
        <v>52.575999999999993</v>
      </c>
      <c r="L35" s="384">
        <v>52.232500000000002</v>
      </c>
      <c r="M35" s="384">
        <v>44.27975</v>
      </c>
      <c r="N35" s="384">
        <v>39.4602</v>
      </c>
      <c r="O35" s="384">
        <v>48.360500000000002</v>
      </c>
      <c r="P35" s="384">
        <v>46.083237499999996</v>
      </c>
      <c r="Q35" s="384">
        <v>42.794249999999998</v>
      </c>
      <c r="R35" s="384">
        <v>49.372225</v>
      </c>
      <c r="S35" s="369">
        <v>20</v>
      </c>
      <c r="T35" s="370">
        <v>100</v>
      </c>
    </row>
    <row r="36" spans="1:20" ht="26.1" customHeight="1" x14ac:dyDescent="0.2">
      <c r="A36" s="379" t="s">
        <v>284</v>
      </c>
      <c r="B36" s="397" t="s">
        <v>234</v>
      </c>
      <c r="C36" s="397" t="s">
        <v>224</v>
      </c>
      <c r="D36" s="385">
        <v>1.0708134</v>
      </c>
      <c r="E36" s="385">
        <v>0.93977549999999999</v>
      </c>
      <c r="F36" s="385">
        <v>0.56724949999999996</v>
      </c>
      <c r="G36" s="385">
        <v>0.74352321999999982</v>
      </c>
      <c r="H36" s="385">
        <v>0.4594876</v>
      </c>
      <c r="I36" s="385">
        <v>0.9014335200000001</v>
      </c>
      <c r="J36" s="385">
        <v>1.1880291500000002</v>
      </c>
      <c r="K36" s="385">
        <v>1.3242579999999997</v>
      </c>
      <c r="L36" s="385">
        <v>1.0052944500000001</v>
      </c>
      <c r="M36" s="385">
        <v>0.65538635999999983</v>
      </c>
      <c r="N36" s="385">
        <v>0.68046055999999999</v>
      </c>
      <c r="O36" s="385">
        <v>1.2561435749999998</v>
      </c>
      <c r="P36" s="385">
        <v>0.89932123624999993</v>
      </c>
      <c r="Q36" s="385">
        <v>0.82139491250000007</v>
      </c>
      <c r="R36" s="385">
        <v>0.9772475599999999</v>
      </c>
      <c r="S36" s="369" t="s">
        <v>272</v>
      </c>
      <c r="T36" s="370">
        <v>7</v>
      </c>
    </row>
  </sheetData>
  <mergeCells count="8">
    <mergeCell ref="B10:B13"/>
    <mergeCell ref="B16:B18"/>
    <mergeCell ref="D1:G1"/>
    <mergeCell ref="H1:K1"/>
    <mergeCell ref="D2:G2"/>
    <mergeCell ref="H2:K2"/>
    <mergeCell ref="D3:G3"/>
    <mergeCell ref="H3:K3"/>
  </mergeCells>
  <conditionalFormatting sqref="D14:K14">
    <cfRule type="cellIs" dxfId="114" priority="23" operator="lessThan">
      <formula>$T$14</formula>
    </cfRule>
  </conditionalFormatting>
  <conditionalFormatting sqref="D19:E19 H19:K19">
    <cfRule type="cellIs" dxfId="113" priority="22" operator="greaterThan">
      <formula>$T$19</formula>
    </cfRule>
  </conditionalFormatting>
  <conditionalFormatting sqref="D20:E20 H20:K20">
    <cfRule type="cellIs" dxfId="112" priority="21" operator="greaterThan">
      <formula>$T$20</formula>
    </cfRule>
  </conditionalFormatting>
  <conditionalFormatting sqref="D21:E21 H21:K21">
    <cfRule type="cellIs" dxfId="111" priority="20" operator="greaterThan">
      <formula>$T$21</formula>
    </cfRule>
  </conditionalFormatting>
  <conditionalFormatting sqref="D22:E22 H22:R22">
    <cfRule type="cellIs" dxfId="110" priority="19" operator="greaterThan">
      <formula>$T$22</formula>
    </cfRule>
  </conditionalFormatting>
  <conditionalFormatting sqref="D23:E23 H23:R23">
    <cfRule type="cellIs" dxfId="109" priority="18" operator="greaterThan">
      <formula>$T$23</formula>
    </cfRule>
  </conditionalFormatting>
  <conditionalFormatting sqref="D24:E25 H24:R25">
    <cfRule type="cellIs" dxfId="108" priority="17" operator="greaterThan">
      <formula>$T$24</formula>
    </cfRule>
  </conditionalFormatting>
  <conditionalFormatting sqref="D26:E26 H26:R26 L27:R27">
    <cfRule type="cellIs" dxfId="107" priority="16" operator="greaterThan">
      <formula>$T$24</formula>
    </cfRule>
  </conditionalFormatting>
  <conditionalFormatting sqref="D27:E27 H27:K27">
    <cfRule type="cellIs" dxfId="106" priority="15" operator="greaterThan">
      <formula>$T$27</formula>
    </cfRule>
  </conditionalFormatting>
  <conditionalFormatting sqref="D28:R28">
    <cfRule type="cellIs" dxfId="105" priority="14" operator="greaterThan">
      <formula>$T$28</formula>
    </cfRule>
  </conditionalFormatting>
  <conditionalFormatting sqref="D36:R36">
    <cfRule type="cellIs" dxfId="104" priority="13" operator="greaterThan">
      <formula>$T$36</formula>
    </cfRule>
  </conditionalFormatting>
  <conditionalFormatting sqref="D35:R35">
    <cfRule type="cellIs" dxfId="103" priority="11" operator="lessThan">
      <formula>$S$35</formula>
    </cfRule>
    <cfRule type="cellIs" dxfId="102" priority="12" operator="greaterThan">
      <formula>$T$35</formula>
    </cfRule>
  </conditionalFormatting>
  <conditionalFormatting sqref="D15:K15">
    <cfRule type="cellIs" dxfId="101" priority="10" operator="lessThan">
      <formula>$T$14</formula>
    </cfRule>
  </conditionalFormatting>
  <conditionalFormatting sqref="F19:G19">
    <cfRule type="cellIs" dxfId="100" priority="9" operator="greaterThan">
      <formula>$T$19</formula>
    </cfRule>
  </conditionalFormatting>
  <conditionalFormatting sqref="F20:G20">
    <cfRule type="cellIs" dxfId="99" priority="8" operator="greaterThan">
      <formula>$T$20</formula>
    </cfRule>
  </conditionalFormatting>
  <conditionalFormatting sqref="F21:G21">
    <cfRule type="cellIs" dxfId="98" priority="7" operator="greaterThan">
      <formula>$T$21</formula>
    </cfRule>
  </conditionalFormatting>
  <conditionalFormatting sqref="F22:G22">
    <cfRule type="cellIs" dxfId="97" priority="6" operator="greaterThan">
      <formula>$T$22</formula>
    </cfRule>
  </conditionalFormatting>
  <conditionalFormatting sqref="F23:G23">
    <cfRule type="cellIs" dxfId="96" priority="5" operator="greaterThan">
      <formula>$T$23</formula>
    </cfRule>
  </conditionalFormatting>
  <conditionalFormatting sqref="F24:G25">
    <cfRule type="cellIs" dxfId="95" priority="4" operator="greaterThan">
      <formula>$T$24</formula>
    </cfRule>
  </conditionalFormatting>
  <conditionalFormatting sqref="F26:G26">
    <cfRule type="cellIs" dxfId="94" priority="3" operator="greaterThan">
      <formula>$T$24</formula>
    </cfRule>
  </conditionalFormatting>
  <conditionalFormatting sqref="F27">
    <cfRule type="cellIs" dxfId="93" priority="2" operator="greaterThan">
      <formula>$T$27</formula>
    </cfRule>
  </conditionalFormatting>
  <conditionalFormatting sqref="G27">
    <cfRule type="cellIs" dxfId="92" priority="1" operator="greaterThan">
      <formula>$T$27</formula>
    </cfRule>
  </conditionalFormatting>
  <pageMargins left="0.27559055118110237" right="0.19685039370078741" top="0.19685039370078741" bottom="0.78740157480314965" header="0" footer="0.51181102362204722"/>
  <pageSetup paperSize="9" fitToWidth="0" orientation="portrait" horizontalDpi="4294967294" r:id="rId1"/>
  <headerFooter alignWithMargins="0">
    <oddFooter xml:space="preserve">&amp;L&amp;"Rockwell,Gras"&amp;P/&amp;N&amp;C&amp;"Rockwell,Gras"&amp;D&amp;R&amp;"Rockwell,Gras"&amp;F </oddFooter>
  </headerFooter>
  <colBreaks count="1" manualBreakCount="1">
    <brk id="7" max="1048575" man="1"/>
  </col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</sheetPr>
  <dimension ref="A1:BS30"/>
  <sheetViews>
    <sheetView zoomScale="80" zoomScaleNormal="80" workbookViewId="0">
      <pane xSplit="3" ySplit="4" topLeftCell="D5" activePane="bottomRight" state="frozen"/>
      <selection activeCell="N59" sqref="N59"/>
      <selection pane="topRight" activeCell="N59" sqref="N59"/>
      <selection pane="bottomLeft" activeCell="N59" sqref="N59"/>
      <selection pane="bottomRight" activeCell="N59" sqref="N59"/>
    </sheetView>
  </sheetViews>
  <sheetFormatPr baseColWidth="10" defaultRowHeight="15" x14ac:dyDescent="0.25"/>
  <cols>
    <col min="1" max="1" width="17.42578125" style="338" bestFit="1" customWidth="1"/>
    <col min="2" max="2" width="14.28515625" style="338" hidden="1" customWidth="1"/>
    <col min="3" max="3" width="14.28515625" style="338" customWidth="1"/>
    <col min="4" max="4" width="14" style="338" bestFit="1" customWidth="1"/>
    <col min="5" max="5" width="12.42578125" style="338" customWidth="1"/>
    <col min="6" max="6" width="15.42578125" style="338" customWidth="1"/>
    <col min="7" max="7" width="16.28515625" style="338" bestFit="1" customWidth="1"/>
    <col min="8" max="9" width="11.42578125" style="338"/>
    <col min="10" max="10" width="15.28515625" style="338" bestFit="1" customWidth="1"/>
    <col min="11" max="11" width="13.5703125" style="426" customWidth="1"/>
    <col min="12" max="12" width="16.42578125" style="426" bestFit="1" customWidth="1"/>
    <col min="13" max="13" width="11.42578125" style="426"/>
    <col min="14" max="14" width="13.140625" style="426" bestFit="1" customWidth="1"/>
    <col min="15" max="15" width="11.42578125" style="426"/>
    <col min="16" max="18" width="17" style="426" customWidth="1"/>
    <col min="19" max="19" width="11.42578125" style="360"/>
    <col min="20" max="20" width="22.42578125" style="399" bestFit="1" customWidth="1"/>
    <col min="21" max="21" width="13.140625" style="399" bestFit="1" customWidth="1"/>
    <col min="22" max="22" width="10" style="399" bestFit="1" customWidth="1"/>
    <col min="23" max="23" width="12.85546875" style="399" bestFit="1" customWidth="1"/>
    <col min="24" max="24" width="16" style="399" bestFit="1" customWidth="1"/>
    <col min="25" max="25" width="7.28515625" style="399" bestFit="1" customWidth="1"/>
    <col min="26" max="26" width="9.140625" style="399" bestFit="1" customWidth="1"/>
    <col min="27" max="27" width="17.7109375" style="399" bestFit="1" customWidth="1"/>
    <col min="28" max="28" width="20" style="399" bestFit="1" customWidth="1"/>
    <col min="29" max="29" width="19.140625" style="399" bestFit="1" customWidth="1"/>
    <col min="30" max="30" width="9.5703125" style="399" bestFit="1" customWidth="1"/>
    <col min="31" max="31" width="13.85546875" style="399" bestFit="1" customWidth="1"/>
    <col min="32" max="32" width="9.7109375" style="399" bestFit="1" customWidth="1"/>
    <col min="33" max="33" width="10.140625" style="399" bestFit="1" customWidth="1"/>
    <col min="34" max="34" width="21" style="399" bestFit="1" customWidth="1"/>
    <col min="35" max="35" width="7.42578125" style="399" bestFit="1" customWidth="1"/>
    <col min="36" max="36" width="11.42578125" style="360"/>
    <col min="37" max="37" width="24" style="360" bestFit="1" customWidth="1"/>
    <col min="38" max="38" width="13.7109375" style="360" bestFit="1" customWidth="1"/>
    <col min="39" max="39" width="11.28515625" style="360" bestFit="1" customWidth="1"/>
    <col min="40" max="40" width="13.28515625" style="360" bestFit="1" customWidth="1"/>
    <col min="41" max="41" width="16.85546875" style="360" bestFit="1" customWidth="1"/>
    <col min="42" max="42" width="8" style="360" bestFit="1" customWidth="1"/>
    <col min="43" max="43" width="11.28515625" style="360" bestFit="1" customWidth="1"/>
    <col min="44" max="44" width="18.28515625" style="360" bestFit="1" customWidth="1"/>
    <col min="45" max="45" width="20.5703125" style="360" hidden="1" customWidth="1"/>
    <col min="46" max="46" width="19.42578125" style="360" bestFit="1" customWidth="1"/>
    <col min="47" max="47" width="10.140625" style="360" bestFit="1" customWidth="1"/>
    <col min="48" max="48" width="14.7109375" style="360" bestFit="1" customWidth="1"/>
    <col min="49" max="49" width="10.140625" style="360" bestFit="1" customWidth="1"/>
    <col min="50" max="50" width="10.5703125" style="360" bestFit="1" customWidth="1"/>
    <col min="51" max="51" width="22" style="360" bestFit="1" customWidth="1"/>
    <col min="52" max="52" width="11.28515625" style="360" bestFit="1" customWidth="1"/>
    <col min="53" max="53" width="11.42578125" style="360"/>
    <col min="54" max="54" width="22" style="360" bestFit="1" customWidth="1"/>
    <col min="55" max="55" width="13.7109375" style="360" bestFit="1" customWidth="1"/>
    <col min="56" max="56" width="9.85546875" style="360" bestFit="1" customWidth="1"/>
    <col min="57" max="57" width="10.42578125" style="360" bestFit="1" customWidth="1"/>
    <col min="58" max="58" width="13.42578125" style="360" bestFit="1" customWidth="1"/>
    <col min="59" max="60" width="8.7109375" style="360" bestFit="1" customWidth="1"/>
    <col min="61" max="61" width="14.42578125" style="360" bestFit="1" customWidth="1"/>
    <col min="62" max="62" width="16.28515625" style="360" hidden="1" customWidth="1"/>
    <col min="63" max="63" width="15.42578125" style="360" bestFit="1" customWidth="1"/>
    <col min="64" max="64" width="8.7109375" style="360" bestFit="1" customWidth="1"/>
    <col min="65" max="65" width="11.5703125" style="360" bestFit="1" customWidth="1"/>
    <col min="66" max="67" width="9.85546875" style="360" bestFit="1" customWidth="1"/>
    <col min="68" max="68" width="16.85546875" style="360" bestFit="1" customWidth="1"/>
    <col min="69" max="69" width="8.7109375" style="360" bestFit="1" customWidth="1"/>
    <col min="70" max="71" width="11.42578125" style="360"/>
    <col min="72" max="16384" width="11.42578125" style="339"/>
  </cols>
  <sheetData>
    <row r="1" spans="1:71" ht="32.25" customHeight="1" x14ac:dyDescent="0.25">
      <c r="D1" s="673" t="s">
        <v>285</v>
      </c>
      <c r="E1" s="673"/>
      <c r="F1" s="673"/>
      <c r="G1" s="673"/>
      <c r="H1" s="673" t="s">
        <v>285</v>
      </c>
      <c r="I1" s="673"/>
      <c r="J1" s="673"/>
      <c r="K1" s="673"/>
      <c r="L1" s="673" t="s">
        <v>285</v>
      </c>
      <c r="M1" s="673"/>
      <c r="N1" s="673"/>
      <c r="O1" s="673"/>
      <c r="P1" s="673" t="s">
        <v>285</v>
      </c>
      <c r="Q1" s="673"/>
      <c r="R1" s="673"/>
    </row>
    <row r="2" spans="1:71" ht="21" customHeight="1" x14ac:dyDescent="0.25">
      <c r="D2" s="674" t="s">
        <v>286</v>
      </c>
      <c r="E2" s="674"/>
      <c r="F2" s="674"/>
      <c r="G2" s="674"/>
      <c r="H2" s="674" t="str">
        <f>D2</f>
        <v>Campagne : Eté 2015</v>
      </c>
      <c r="I2" s="674"/>
      <c r="J2" s="674"/>
      <c r="K2" s="674"/>
      <c r="L2" s="674" t="str">
        <f>D2</f>
        <v>Campagne : Eté 2015</v>
      </c>
      <c r="M2" s="674"/>
      <c r="N2" s="674"/>
      <c r="O2" s="674"/>
      <c r="P2" s="674" t="str">
        <f>D2</f>
        <v>Campagne : Eté 2015</v>
      </c>
      <c r="Q2" s="674"/>
      <c r="R2" s="674"/>
    </row>
    <row r="3" spans="1:71" ht="21" customHeight="1" x14ac:dyDescent="0.25">
      <c r="A3" s="342"/>
      <c r="B3" s="342"/>
      <c r="C3" s="342"/>
      <c r="D3" s="675" t="s">
        <v>201</v>
      </c>
      <c r="E3" s="675"/>
      <c r="F3" s="675"/>
      <c r="G3" s="675"/>
      <c r="H3" s="675" t="s">
        <v>201</v>
      </c>
      <c r="I3" s="675"/>
      <c r="J3" s="675"/>
      <c r="K3" s="675"/>
      <c r="L3" s="675" t="s">
        <v>201</v>
      </c>
      <c r="M3" s="675"/>
      <c r="N3" s="675"/>
      <c r="O3" s="675"/>
      <c r="P3" s="675" t="s">
        <v>201</v>
      </c>
      <c r="Q3" s="675"/>
      <c r="R3" s="675"/>
    </row>
    <row r="4" spans="1:71" ht="30" x14ac:dyDescent="0.25">
      <c r="A4" s="343" t="s">
        <v>202</v>
      </c>
      <c r="B4" s="344" t="s">
        <v>203</v>
      </c>
      <c r="C4" s="345" t="s">
        <v>287</v>
      </c>
      <c r="D4" s="343" t="s">
        <v>288</v>
      </c>
      <c r="E4" s="343" t="s">
        <v>45</v>
      </c>
      <c r="F4" s="343" t="s">
        <v>50</v>
      </c>
      <c r="G4" s="343" t="s">
        <v>109</v>
      </c>
      <c r="H4" s="343" t="s">
        <v>57</v>
      </c>
      <c r="I4" s="343" t="s">
        <v>60</v>
      </c>
      <c r="J4" s="343" t="s">
        <v>289</v>
      </c>
      <c r="K4" s="343" t="s">
        <v>290</v>
      </c>
      <c r="L4" s="343" t="s">
        <v>291</v>
      </c>
      <c r="M4" s="343" t="s">
        <v>292</v>
      </c>
      <c r="N4" s="343" t="s">
        <v>293</v>
      </c>
      <c r="O4" s="343" t="s">
        <v>31</v>
      </c>
      <c r="P4" s="343" t="s">
        <v>37</v>
      </c>
      <c r="Q4" s="343" t="s">
        <v>47</v>
      </c>
      <c r="R4" s="400" t="s">
        <v>294</v>
      </c>
      <c r="T4" s="361" t="s">
        <v>295</v>
      </c>
      <c r="U4" s="361" t="str">
        <f>D4</f>
        <v>Complexes</v>
      </c>
      <c r="V4" s="361" t="str">
        <f t="shared" ref="V4:AG4" si="0">E4</f>
        <v>Textiles</v>
      </c>
      <c r="W4" s="361" t="str">
        <f t="shared" si="0"/>
        <v>Plastiques</v>
      </c>
      <c r="X4" s="361" t="str">
        <f t="shared" si="0"/>
        <v>Combustibles</v>
      </c>
      <c r="Y4" s="361" t="str">
        <f t="shared" si="0"/>
        <v>Verre</v>
      </c>
      <c r="Z4" s="361" t="str">
        <f t="shared" si="0"/>
        <v>Métaux</v>
      </c>
      <c r="AA4" s="361" t="str">
        <f t="shared" si="0"/>
        <v>Incombustibles</v>
      </c>
      <c r="AB4" s="361" t="str">
        <f t="shared" si="0"/>
        <v>Déchets spéciaux</v>
      </c>
      <c r="AC4" s="361" t="str">
        <f t="shared" si="0"/>
        <v>Fermentescibles</v>
      </c>
      <c r="AD4" s="361" t="str">
        <f t="shared" si="0"/>
        <v>Ligneux</v>
      </c>
      <c r="AE4" s="361" t="str">
        <f t="shared" si="0"/>
        <v>Non ligneux</v>
      </c>
      <c r="AF4" s="361" t="str">
        <f t="shared" si="0"/>
        <v>Papiers</v>
      </c>
      <c r="AG4" s="361" t="str">
        <f t="shared" si="0"/>
        <v>Cartons</v>
      </c>
      <c r="AH4" s="361" t="str">
        <f>Q4</f>
        <v>Textiles sanitaires</v>
      </c>
      <c r="AI4" s="361" t="str">
        <f>R4</f>
        <v>Fines</v>
      </c>
      <c r="AK4" s="361" t="s">
        <v>296</v>
      </c>
      <c r="AL4" s="361" t="str">
        <f>U4</f>
        <v>Complexes</v>
      </c>
      <c r="AM4" s="361" t="str">
        <f t="shared" ref="AM4:AX4" si="1">V4</f>
        <v>Textiles</v>
      </c>
      <c r="AN4" s="361" t="str">
        <f t="shared" si="1"/>
        <v>Plastiques</v>
      </c>
      <c r="AO4" s="361" t="str">
        <f t="shared" si="1"/>
        <v>Combustibles</v>
      </c>
      <c r="AP4" s="361" t="str">
        <f t="shared" si="1"/>
        <v>Verre</v>
      </c>
      <c r="AQ4" s="361" t="str">
        <f t="shared" si="1"/>
        <v>Métaux</v>
      </c>
      <c r="AR4" s="361" t="str">
        <f t="shared" si="1"/>
        <v>Incombustibles</v>
      </c>
      <c r="AS4" s="361" t="str">
        <f t="shared" si="1"/>
        <v>Déchets spéciaux</v>
      </c>
      <c r="AT4" s="361" t="str">
        <f t="shared" si="1"/>
        <v>Fermentescibles</v>
      </c>
      <c r="AU4" s="361" t="str">
        <f t="shared" si="1"/>
        <v>Ligneux</v>
      </c>
      <c r="AV4" s="361" t="str">
        <f t="shared" si="1"/>
        <v>Non ligneux</v>
      </c>
      <c r="AW4" s="361" t="str">
        <f t="shared" si="1"/>
        <v>Papiers</v>
      </c>
      <c r="AX4" s="361" t="str">
        <f t="shared" si="1"/>
        <v>Cartons</v>
      </c>
      <c r="AY4" s="361" t="str">
        <f>AH4</f>
        <v>Textiles sanitaires</v>
      </c>
      <c r="AZ4" s="361" t="str">
        <f>AI4</f>
        <v>Fines</v>
      </c>
      <c r="BB4" s="361" t="s">
        <v>297</v>
      </c>
      <c r="BC4" s="361" t="str">
        <f>AL4</f>
        <v>Complexes</v>
      </c>
      <c r="BD4" s="361" t="str">
        <f t="shared" ref="BD4:BO4" si="2">AM4</f>
        <v>Textiles</v>
      </c>
      <c r="BE4" s="361" t="str">
        <f t="shared" si="2"/>
        <v>Plastiques</v>
      </c>
      <c r="BF4" s="361" t="str">
        <f t="shared" si="2"/>
        <v>Combustibles</v>
      </c>
      <c r="BG4" s="361" t="str">
        <f t="shared" si="2"/>
        <v>Verre</v>
      </c>
      <c r="BH4" s="361" t="str">
        <f t="shared" si="2"/>
        <v>Métaux</v>
      </c>
      <c r="BI4" s="361" t="str">
        <f t="shared" si="2"/>
        <v>Incombustibles</v>
      </c>
      <c r="BJ4" s="361" t="str">
        <f t="shared" si="2"/>
        <v>Déchets spéciaux</v>
      </c>
      <c r="BK4" s="361" t="str">
        <f t="shared" si="2"/>
        <v>Fermentescibles</v>
      </c>
      <c r="BL4" s="361" t="str">
        <f t="shared" si="2"/>
        <v>Ligneux</v>
      </c>
      <c r="BM4" s="361" t="str">
        <f t="shared" si="2"/>
        <v>Non ligneux</v>
      </c>
      <c r="BN4" s="361" t="str">
        <f t="shared" si="2"/>
        <v>Papiers</v>
      </c>
      <c r="BO4" s="361" t="str">
        <f t="shared" si="2"/>
        <v>Cartons</v>
      </c>
      <c r="BP4" s="361" t="str">
        <f>AY4</f>
        <v>Textiles sanitaires</v>
      </c>
      <c r="BQ4" s="361" t="str">
        <f>AZ4</f>
        <v>Fines</v>
      </c>
    </row>
    <row r="5" spans="1:71" ht="24.95" customHeight="1" x14ac:dyDescent="0.25">
      <c r="A5" s="351" t="s">
        <v>222</v>
      </c>
      <c r="B5" s="352" t="s">
        <v>223</v>
      </c>
      <c r="C5" s="401" t="s">
        <v>224</v>
      </c>
      <c r="D5" s="402">
        <v>88.6</v>
      </c>
      <c r="E5" s="402">
        <v>97.6</v>
      </c>
      <c r="F5" s="402">
        <v>94.4</v>
      </c>
      <c r="G5" s="402">
        <v>89</v>
      </c>
      <c r="H5" s="402">
        <v>0.8</v>
      </c>
      <c r="I5" s="402">
        <v>12.7</v>
      </c>
      <c r="J5" s="402">
        <v>0.8</v>
      </c>
      <c r="K5" s="684" t="s">
        <v>298</v>
      </c>
      <c r="L5" s="402">
        <v>91.1</v>
      </c>
      <c r="M5" s="402">
        <v>93</v>
      </c>
      <c r="N5" s="402">
        <v>86.5</v>
      </c>
      <c r="O5" s="402">
        <v>77.3</v>
      </c>
      <c r="P5" s="402">
        <v>84.3</v>
      </c>
      <c r="Q5" s="402">
        <v>91.2</v>
      </c>
      <c r="R5" s="403">
        <v>46.8</v>
      </c>
      <c r="T5" s="361" t="s">
        <v>222</v>
      </c>
      <c r="U5" s="399">
        <v>85.9</v>
      </c>
      <c r="V5" s="399">
        <v>96.5</v>
      </c>
      <c r="W5" s="399">
        <v>94.6</v>
      </c>
      <c r="X5" s="399">
        <v>82.6</v>
      </c>
      <c r="Y5" s="399">
        <v>1.2</v>
      </c>
      <c r="Z5" s="399">
        <v>12.4</v>
      </c>
      <c r="AA5" s="399">
        <v>10.7</v>
      </c>
      <c r="AC5" s="399">
        <v>87</v>
      </c>
      <c r="AD5" s="399">
        <v>87</v>
      </c>
      <c r="AE5" s="399">
        <v>87</v>
      </c>
      <c r="AF5" s="399">
        <v>76.5</v>
      </c>
      <c r="AG5" s="399">
        <v>84.2</v>
      </c>
      <c r="AH5" s="399">
        <v>89.6</v>
      </c>
      <c r="AI5" s="399">
        <v>48.8</v>
      </c>
      <c r="AK5" s="361" t="s">
        <v>222</v>
      </c>
      <c r="AL5" s="399">
        <f>U5+((20/100)*U5)</f>
        <v>103.08000000000001</v>
      </c>
      <c r="AM5" s="399">
        <f t="shared" ref="AM5:AZ5" si="3">V5+((20/100)*V5)</f>
        <v>115.8</v>
      </c>
      <c r="AN5" s="399">
        <f t="shared" si="3"/>
        <v>113.52</v>
      </c>
      <c r="AO5" s="399">
        <f t="shared" si="3"/>
        <v>99.11999999999999</v>
      </c>
      <c r="AP5" s="399">
        <f t="shared" si="3"/>
        <v>1.44</v>
      </c>
      <c r="AQ5" s="399">
        <f t="shared" si="3"/>
        <v>14.88</v>
      </c>
      <c r="AR5" s="399">
        <f t="shared" si="3"/>
        <v>12.84</v>
      </c>
      <c r="AS5" s="399"/>
      <c r="AT5" s="399">
        <f t="shared" si="3"/>
        <v>104.4</v>
      </c>
      <c r="AU5" s="399">
        <f t="shared" si="3"/>
        <v>104.4</v>
      </c>
      <c r="AV5" s="399">
        <f t="shared" si="3"/>
        <v>104.4</v>
      </c>
      <c r="AW5" s="399">
        <f t="shared" si="3"/>
        <v>91.8</v>
      </c>
      <c r="AX5" s="399">
        <f t="shared" si="3"/>
        <v>101.04</v>
      </c>
      <c r="AY5" s="399">
        <f t="shared" si="3"/>
        <v>107.52</v>
      </c>
      <c r="AZ5" s="399">
        <f t="shared" si="3"/>
        <v>58.559999999999995</v>
      </c>
      <c r="BA5" s="399"/>
      <c r="BB5" s="361" t="s">
        <v>222</v>
      </c>
      <c r="BC5" s="404">
        <f>U5-((20/100)*U5)</f>
        <v>68.72</v>
      </c>
      <c r="BD5" s="404">
        <f t="shared" ref="BD5:BQ5" si="4">V5-((20/100)*V5)</f>
        <v>77.2</v>
      </c>
      <c r="BE5" s="404">
        <f t="shared" si="4"/>
        <v>75.679999999999993</v>
      </c>
      <c r="BF5" s="404">
        <f t="shared" si="4"/>
        <v>66.08</v>
      </c>
      <c r="BG5" s="404">
        <f t="shared" si="4"/>
        <v>0.96</v>
      </c>
      <c r="BH5" s="404">
        <f t="shared" si="4"/>
        <v>9.92</v>
      </c>
      <c r="BI5" s="404">
        <f t="shared" si="4"/>
        <v>8.5599999999999987</v>
      </c>
      <c r="BJ5" s="404">
        <f t="shared" si="4"/>
        <v>0</v>
      </c>
      <c r="BK5" s="404">
        <f t="shared" si="4"/>
        <v>69.599999999999994</v>
      </c>
      <c r="BL5" s="404">
        <f t="shared" si="4"/>
        <v>69.599999999999994</v>
      </c>
      <c r="BM5" s="404">
        <f t="shared" si="4"/>
        <v>69.599999999999994</v>
      </c>
      <c r="BN5" s="404">
        <f t="shared" si="4"/>
        <v>61.2</v>
      </c>
      <c r="BO5" s="404">
        <f t="shared" si="4"/>
        <v>67.36</v>
      </c>
      <c r="BP5" s="404">
        <f t="shared" si="4"/>
        <v>71.679999999999993</v>
      </c>
      <c r="BQ5" s="404">
        <f t="shared" si="4"/>
        <v>39.04</v>
      </c>
      <c r="BS5" s="360" t="s">
        <v>272</v>
      </c>
    </row>
    <row r="6" spans="1:71" ht="24.95" customHeight="1" x14ac:dyDescent="0.25">
      <c r="A6" s="351" t="s">
        <v>225</v>
      </c>
      <c r="B6" s="352" t="s">
        <v>226</v>
      </c>
      <c r="C6" s="401" t="s">
        <v>224</v>
      </c>
      <c r="D6" s="405">
        <v>0.39</v>
      </c>
      <c r="E6" s="405">
        <v>3.53</v>
      </c>
      <c r="F6" s="405">
        <v>0.38</v>
      </c>
      <c r="G6" s="405">
        <v>3.57</v>
      </c>
      <c r="H6" s="405">
        <v>0.1</v>
      </c>
      <c r="I6" s="405">
        <v>0.11</v>
      </c>
      <c r="J6" s="405">
        <v>0.1</v>
      </c>
      <c r="K6" s="685"/>
      <c r="L6" s="405">
        <v>2.58</v>
      </c>
      <c r="M6" s="405">
        <v>1.66</v>
      </c>
      <c r="N6" s="405">
        <v>2.0699999999999998</v>
      </c>
      <c r="O6" s="405">
        <v>0.3</v>
      </c>
      <c r="P6" s="405">
        <v>0.44</v>
      </c>
      <c r="Q6" s="405">
        <v>0.68</v>
      </c>
      <c r="R6" s="406">
        <v>1.43</v>
      </c>
      <c r="T6" s="361" t="s">
        <v>225</v>
      </c>
      <c r="AK6" s="361" t="s">
        <v>225</v>
      </c>
      <c r="AL6" s="399"/>
      <c r="AM6" s="399"/>
      <c r="AN6" s="399"/>
      <c r="AO6" s="399"/>
      <c r="AP6" s="399"/>
      <c r="AQ6" s="399"/>
      <c r="AR6" s="399"/>
      <c r="AS6" s="399"/>
      <c r="AT6" s="399"/>
      <c r="AU6" s="399"/>
      <c r="AV6" s="399"/>
      <c r="AW6" s="399"/>
      <c r="AX6" s="399"/>
      <c r="AY6" s="399"/>
      <c r="AZ6" s="399"/>
      <c r="BB6" s="361" t="s">
        <v>225</v>
      </c>
      <c r="BC6" s="399"/>
      <c r="BD6" s="399"/>
      <c r="BE6" s="399"/>
      <c r="BF6" s="399"/>
      <c r="BG6" s="399"/>
      <c r="BH6" s="399"/>
      <c r="BI6" s="399"/>
      <c r="BJ6" s="399"/>
      <c r="BK6" s="399"/>
      <c r="BL6" s="399"/>
      <c r="BM6" s="399"/>
      <c r="BN6" s="399"/>
      <c r="BO6" s="399"/>
      <c r="BP6" s="399"/>
      <c r="BQ6" s="399"/>
      <c r="BS6" s="360" t="s">
        <v>299</v>
      </c>
    </row>
    <row r="7" spans="1:71" ht="24.95" customHeight="1" x14ac:dyDescent="0.25">
      <c r="A7" s="351" t="s">
        <v>227</v>
      </c>
      <c r="B7" s="352" t="s">
        <v>228</v>
      </c>
      <c r="C7" s="401" t="s">
        <v>229</v>
      </c>
      <c r="D7" s="407">
        <v>569.5</v>
      </c>
      <c r="E7" s="407">
        <v>774.9</v>
      </c>
      <c r="F7" s="407">
        <v>300</v>
      </c>
      <c r="G7" s="407">
        <v>349.5</v>
      </c>
      <c r="H7" s="407">
        <v>29.2</v>
      </c>
      <c r="I7" s="407">
        <v>446.2</v>
      </c>
      <c r="J7" s="407">
        <v>25.4</v>
      </c>
      <c r="K7" s="685"/>
      <c r="L7" s="407">
        <v>6408</v>
      </c>
      <c r="M7" s="407">
        <v>3705.3</v>
      </c>
      <c r="N7" s="407">
        <v>4122.8</v>
      </c>
      <c r="O7" s="407">
        <v>296</v>
      </c>
      <c r="P7" s="407">
        <v>538.1</v>
      </c>
      <c r="Q7" s="407">
        <v>1288.5</v>
      </c>
      <c r="R7" s="408">
        <v>2021.7</v>
      </c>
      <c r="T7" s="361" t="s">
        <v>227</v>
      </c>
      <c r="AK7" s="361" t="s">
        <v>227</v>
      </c>
      <c r="AL7" s="399"/>
      <c r="AM7" s="399"/>
      <c r="AN7" s="399"/>
      <c r="AO7" s="399"/>
      <c r="AP7" s="399"/>
      <c r="AQ7" s="399"/>
      <c r="AR7" s="399"/>
      <c r="AS7" s="399"/>
      <c r="AT7" s="399"/>
      <c r="AU7" s="399"/>
      <c r="AV7" s="399"/>
      <c r="AW7" s="399"/>
      <c r="AX7" s="399"/>
      <c r="AY7" s="399"/>
      <c r="AZ7" s="399"/>
      <c r="BB7" s="361" t="s">
        <v>227</v>
      </c>
      <c r="BC7" s="399"/>
      <c r="BD7" s="399"/>
      <c r="BE7" s="399"/>
      <c r="BF7" s="399"/>
      <c r="BG7" s="399"/>
      <c r="BH7" s="399"/>
      <c r="BI7" s="399"/>
      <c r="BJ7" s="399"/>
      <c r="BK7" s="399"/>
      <c r="BL7" s="399"/>
      <c r="BM7" s="399"/>
      <c r="BN7" s="399"/>
      <c r="BO7" s="399"/>
      <c r="BP7" s="399"/>
      <c r="BQ7" s="399"/>
    </row>
    <row r="8" spans="1:71" ht="24.95" customHeight="1" x14ac:dyDescent="0.25">
      <c r="A8" s="351" t="s">
        <v>230</v>
      </c>
      <c r="B8" s="352" t="s">
        <v>228</v>
      </c>
      <c r="C8" s="401" t="s">
        <v>229</v>
      </c>
      <c r="D8" s="407">
        <v>2298.1</v>
      </c>
      <c r="E8" s="407">
        <v>2141</v>
      </c>
      <c r="F8" s="407">
        <v>904.2</v>
      </c>
      <c r="G8" s="407">
        <v>1607.7</v>
      </c>
      <c r="H8" s="407">
        <v>132</v>
      </c>
      <c r="I8" s="407">
        <v>1665.5</v>
      </c>
      <c r="J8" s="407">
        <v>175.7</v>
      </c>
      <c r="K8" s="685"/>
      <c r="L8" s="407">
        <v>8580.2000000000007</v>
      </c>
      <c r="M8" s="407">
        <v>13422</v>
      </c>
      <c r="N8" s="407">
        <v>18023.8</v>
      </c>
      <c r="O8" s="407">
        <v>1599.6</v>
      </c>
      <c r="P8" s="407">
        <v>2391</v>
      </c>
      <c r="Q8" s="407">
        <v>4292.1000000000004</v>
      </c>
      <c r="R8" s="408">
        <v>5239.3</v>
      </c>
      <c r="T8" s="361" t="s">
        <v>230</v>
      </c>
      <c r="AK8" s="361" t="s">
        <v>230</v>
      </c>
      <c r="AL8" s="399"/>
      <c r="AM8" s="399"/>
      <c r="AN8" s="399"/>
      <c r="AO8" s="399"/>
      <c r="AP8" s="399"/>
      <c r="AQ8" s="399"/>
      <c r="AR8" s="399"/>
      <c r="AS8" s="399"/>
      <c r="AT8" s="399"/>
      <c r="AU8" s="399"/>
      <c r="AV8" s="399"/>
      <c r="AW8" s="399"/>
      <c r="AX8" s="399"/>
      <c r="AY8" s="399"/>
      <c r="AZ8" s="399"/>
      <c r="BB8" s="361" t="s">
        <v>230</v>
      </c>
      <c r="BC8" s="399"/>
      <c r="BD8" s="399"/>
      <c r="BE8" s="399"/>
      <c r="BF8" s="399"/>
      <c r="BG8" s="399"/>
      <c r="BH8" s="399"/>
      <c r="BI8" s="399"/>
      <c r="BJ8" s="399"/>
      <c r="BK8" s="399"/>
      <c r="BL8" s="399"/>
      <c r="BM8" s="399"/>
      <c r="BN8" s="399"/>
      <c r="BO8" s="399"/>
      <c r="BP8" s="399"/>
      <c r="BQ8" s="399"/>
    </row>
    <row r="9" spans="1:71" ht="24.95" customHeight="1" x14ac:dyDescent="0.25">
      <c r="A9" s="351" t="s">
        <v>231</v>
      </c>
      <c r="B9" s="352" t="s">
        <v>232</v>
      </c>
      <c r="C9" s="401" t="s">
        <v>224</v>
      </c>
      <c r="D9" s="382">
        <v>45.7</v>
      </c>
      <c r="E9" s="382">
        <v>49.3</v>
      </c>
      <c r="F9" s="382">
        <v>57.6</v>
      </c>
      <c r="G9" s="382">
        <v>41.5</v>
      </c>
      <c r="H9" s="382">
        <v>0.3</v>
      </c>
      <c r="I9" s="382">
        <v>5.0999999999999996</v>
      </c>
      <c r="J9" s="382">
        <v>0.2</v>
      </c>
      <c r="K9" s="685"/>
      <c r="L9" s="382">
        <v>43.9</v>
      </c>
      <c r="M9" s="394">
        <v>44.7</v>
      </c>
      <c r="N9" s="382">
        <v>43.4</v>
      </c>
      <c r="O9" s="382">
        <v>35.299999999999997</v>
      </c>
      <c r="P9" s="382">
        <v>38.799999999999997</v>
      </c>
      <c r="Q9" s="382">
        <v>45</v>
      </c>
      <c r="R9" s="409">
        <v>22.4</v>
      </c>
      <c r="T9" s="361" t="s">
        <v>300</v>
      </c>
      <c r="U9" s="399">
        <v>36.299999999999997</v>
      </c>
      <c r="V9" s="399">
        <v>52.8</v>
      </c>
      <c r="W9" s="399">
        <v>75.599999999999994</v>
      </c>
      <c r="X9" s="399">
        <v>41</v>
      </c>
      <c r="Y9" s="399">
        <v>1.18</v>
      </c>
      <c r="Z9" s="399">
        <v>1.24</v>
      </c>
      <c r="AA9" s="399">
        <v>4</v>
      </c>
      <c r="AC9" s="399">
        <v>40.9</v>
      </c>
      <c r="AD9" s="399">
        <v>40.9</v>
      </c>
      <c r="AE9" s="399">
        <v>40.9</v>
      </c>
      <c r="AF9" s="399">
        <v>34.200000000000003</v>
      </c>
      <c r="AG9" s="399">
        <v>37.5</v>
      </c>
      <c r="AH9" s="399">
        <v>44.3</v>
      </c>
      <c r="AI9" s="399">
        <v>21.1</v>
      </c>
      <c r="AK9" s="361" t="s">
        <v>300</v>
      </c>
      <c r="AL9" s="399">
        <f t="shared" ref="AL9:AR11" si="5">U9+((20/100)*U9)</f>
        <v>43.559999999999995</v>
      </c>
      <c r="AM9" s="399">
        <f t="shared" si="5"/>
        <v>63.36</v>
      </c>
      <c r="AN9" s="399">
        <f t="shared" si="5"/>
        <v>90.72</v>
      </c>
      <c r="AO9" s="399">
        <f t="shared" si="5"/>
        <v>49.2</v>
      </c>
      <c r="AP9" s="399">
        <f t="shared" si="5"/>
        <v>1.4159999999999999</v>
      </c>
      <c r="AQ9" s="399">
        <f t="shared" si="5"/>
        <v>1.488</v>
      </c>
      <c r="AR9" s="399">
        <f t="shared" si="5"/>
        <v>4.8</v>
      </c>
      <c r="AS9" s="399"/>
      <c r="AT9" s="399">
        <f t="shared" ref="AT9:AZ11" si="6">AC9+((20/100)*AC9)</f>
        <v>49.08</v>
      </c>
      <c r="AU9" s="399">
        <f t="shared" si="6"/>
        <v>49.08</v>
      </c>
      <c r="AV9" s="399">
        <f t="shared" si="6"/>
        <v>49.08</v>
      </c>
      <c r="AW9" s="399">
        <f t="shared" si="6"/>
        <v>41.040000000000006</v>
      </c>
      <c r="AX9" s="399">
        <f t="shared" si="6"/>
        <v>45</v>
      </c>
      <c r="AY9" s="399">
        <f t="shared" si="6"/>
        <v>53.16</v>
      </c>
      <c r="AZ9" s="399">
        <f t="shared" si="6"/>
        <v>25.32</v>
      </c>
      <c r="BB9" s="361" t="s">
        <v>300</v>
      </c>
      <c r="BC9" s="404">
        <f t="shared" ref="BC9:BQ11" si="7">U9-((20/100)*U9)</f>
        <v>29.04</v>
      </c>
      <c r="BD9" s="404">
        <f t="shared" si="7"/>
        <v>42.239999999999995</v>
      </c>
      <c r="BE9" s="404">
        <f t="shared" si="7"/>
        <v>60.48</v>
      </c>
      <c r="BF9" s="404">
        <f t="shared" si="7"/>
        <v>32.799999999999997</v>
      </c>
      <c r="BG9" s="404">
        <f t="shared" si="7"/>
        <v>0.94399999999999995</v>
      </c>
      <c r="BH9" s="404">
        <f t="shared" si="7"/>
        <v>0.99199999999999999</v>
      </c>
      <c r="BI9" s="404">
        <f t="shared" si="7"/>
        <v>3.2</v>
      </c>
      <c r="BJ9" s="404">
        <f t="shared" si="7"/>
        <v>0</v>
      </c>
      <c r="BK9" s="404">
        <f t="shared" si="7"/>
        <v>32.72</v>
      </c>
      <c r="BL9" s="404">
        <f t="shared" si="7"/>
        <v>32.72</v>
      </c>
      <c r="BM9" s="404">
        <f t="shared" si="7"/>
        <v>32.72</v>
      </c>
      <c r="BN9" s="404">
        <f t="shared" si="7"/>
        <v>27.360000000000003</v>
      </c>
      <c r="BO9" s="404">
        <f t="shared" si="7"/>
        <v>30</v>
      </c>
      <c r="BP9" s="404">
        <f t="shared" si="7"/>
        <v>35.44</v>
      </c>
      <c r="BQ9" s="404">
        <f t="shared" si="7"/>
        <v>16.880000000000003</v>
      </c>
    </row>
    <row r="10" spans="1:71" ht="24.95" customHeight="1" x14ac:dyDescent="0.25">
      <c r="A10" s="351" t="s">
        <v>233</v>
      </c>
      <c r="B10" s="352"/>
      <c r="C10" s="401" t="s">
        <v>224</v>
      </c>
      <c r="D10" s="394">
        <v>0.4</v>
      </c>
      <c r="E10" s="394">
        <v>3.5</v>
      </c>
      <c r="F10" s="383">
        <v>0.4</v>
      </c>
      <c r="G10" s="394">
        <v>3.5</v>
      </c>
      <c r="H10" s="394">
        <v>0.1</v>
      </c>
      <c r="I10" s="394">
        <v>0.1</v>
      </c>
      <c r="J10" s="382">
        <v>0.1</v>
      </c>
      <c r="K10" s="685"/>
      <c r="L10" s="382">
        <v>2.5</v>
      </c>
      <c r="M10" s="394">
        <v>1.6</v>
      </c>
      <c r="N10" s="383">
        <v>2</v>
      </c>
      <c r="O10" s="394">
        <v>0.3</v>
      </c>
      <c r="P10" s="394">
        <v>0.4</v>
      </c>
      <c r="Q10" s="394">
        <v>0.6</v>
      </c>
      <c r="R10" s="410">
        <v>1.4</v>
      </c>
      <c r="T10" s="361" t="s">
        <v>233</v>
      </c>
      <c r="U10" s="399">
        <v>0.08</v>
      </c>
      <c r="V10" s="399">
        <v>0.71</v>
      </c>
      <c r="W10" s="399">
        <v>0.03</v>
      </c>
      <c r="X10" s="399">
        <v>1.98</v>
      </c>
      <c r="AA10" s="399">
        <v>0.51</v>
      </c>
      <c r="AC10" s="399">
        <v>2</v>
      </c>
      <c r="AD10" s="399">
        <v>2</v>
      </c>
      <c r="AE10" s="399">
        <v>2</v>
      </c>
      <c r="AF10" s="399">
        <v>0.11</v>
      </c>
      <c r="AG10" s="399">
        <v>0.19</v>
      </c>
      <c r="AH10" s="399">
        <v>0.76</v>
      </c>
      <c r="AI10" s="399">
        <v>1.4</v>
      </c>
      <c r="AK10" s="361" t="s">
        <v>233</v>
      </c>
      <c r="AL10" s="399">
        <f t="shared" si="5"/>
        <v>9.6000000000000002E-2</v>
      </c>
      <c r="AM10" s="399">
        <f t="shared" si="5"/>
        <v>0.85199999999999998</v>
      </c>
      <c r="AN10" s="399">
        <f t="shared" si="5"/>
        <v>3.5999999999999997E-2</v>
      </c>
      <c r="AO10" s="399">
        <f t="shared" si="5"/>
        <v>2.3759999999999999</v>
      </c>
      <c r="AP10" s="399">
        <f t="shared" si="5"/>
        <v>0</v>
      </c>
      <c r="AQ10" s="399">
        <f t="shared" si="5"/>
        <v>0</v>
      </c>
      <c r="AR10" s="399">
        <f t="shared" si="5"/>
        <v>0.61199999999999999</v>
      </c>
      <c r="AS10" s="399"/>
      <c r="AT10" s="399">
        <f t="shared" si="6"/>
        <v>2.4</v>
      </c>
      <c r="AU10" s="399">
        <f t="shared" si="6"/>
        <v>2.4</v>
      </c>
      <c r="AV10" s="399">
        <f t="shared" si="6"/>
        <v>2.4</v>
      </c>
      <c r="AW10" s="399">
        <f t="shared" si="6"/>
        <v>0.13200000000000001</v>
      </c>
      <c r="AX10" s="399">
        <f t="shared" si="6"/>
        <v>0.22800000000000001</v>
      </c>
      <c r="AY10" s="399">
        <f t="shared" si="6"/>
        <v>0.91200000000000003</v>
      </c>
      <c r="AZ10" s="399">
        <f t="shared" si="6"/>
        <v>1.68</v>
      </c>
      <c r="BB10" s="361" t="s">
        <v>233</v>
      </c>
      <c r="BC10" s="404">
        <f t="shared" si="7"/>
        <v>6.4000000000000001E-2</v>
      </c>
      <c r="BD10" s="404">
        <f t="shared" si="7"/>
        <v>0.56799999999999995</v>
      </c>
      <c r="BE10" s="404">
        <f t="shared" si="7"/>
        <v>2.4E-2</v>
      </c>
      <c r="BF10" s="404">
        <f t="shared" si="7"/>
        <v>1.5840000000000001</v>
      </c>
      <c r="BG10" s="404">
        <f t="shared" si="7"/>
        <v>0</v>
      </c>
      <c r="BH10" s="404">
        <f t="shared" si="7"/>
        <v>0</v>
      </c>
      <c r="BI10" s="404">
        <f t="shared" si="7"/>
        <v>0.40800000000000003</v>
      </c>
      <c r="BJ10" s="404">
        <f t="shared" si="7"/>
        <v>0</v>
      </c>
      <c r="BK10" s="404">
        <f t="shared" si="7"/>
        <v>1.6</v>
      </c>
      <c r="BL10" s="404">
        <f t="shared" si="7"/>
        <v>1.6</v>
      </c>
      <c r="BM10" s="404">
        <f t="shared" si="7"/>
        <v>1.6</v>
      </c>
      <c r="BN10" s="404">
        <f t="shared" si="7"/>
        <v>8.7999999999999995E-2</v>
      </c>
      <c r="BO10" s="404">
        <f t="shared" si="7"/>
        <v>0.152</v>
      </c>
      <c r="BP10" s="404">
        <f t="shared" si="7"/>
        <v>0.60799999999999998</v>
      </c>
      <c r="BQ10" s="404">
        <f t="shared" si="7"/>
        <v>1.1199999999999999</v>
      </c>
    </row>
    <row r="11" spans="1:71" ht="30" x14ac:dyDescent="0.25">
      <c r="A11" s="351" t="s">
        <v>235</v>
      </c>
      <c r="B11" s="352" t="s">
        <v>234</v>
      </c>
      <c r="C11" s="411" t="s">
        <v>236</v>
      </c>
      <c r="D11" s="412">
        <v>114.25</v>
      </c>
      <c r="E11" s="412">
        <v>14.085714285714285</v>
      </c>
      <c r="F11" s="412">
        <v>144</v>
      </c>
      <c r="G11" s="412">
        <v>11.857142857142858</v>
      </c>
      <c r="H11" s="412">
        <v>2.9999999999999996</v>
      </c>
      <c r="I11" s="412">
        <v>50.999999999999993</v>
      </c>
      <c r="J11" s="412">
        <v>2</v>
      </c>
      <c r="K11" s="685"/>
      <c r="L11" s="412">
        <v>17.559999999999999</v>
      </c>
      <c r="M11" s="412">
        <v>27.9375</v>
      </c>
      <c r="N11" s="412">
        <v>21.7</v>
      </c>
      <c r="O11" s="412">
        <v>117.66666666666666</v>
      </c>
      <c r="P11" s="412">
        <v>96.999999999999986</v>
      </c>
      <c r="Q11" s="412">
        <v>75</v>
      </c>
      <c r="R11" s="413">
        <v>16</v>
      </c>
      <c r="T11" s="361" t="s">
        <v>301</v>
      </c>
      <c r="U11" s="399">
        <v>453.8</v>
      </c>
      <c r="V11" s="399">
        <v>74.400000000000006</v>
      </c>
      <c r="W11" s="399">
        <v>2520</v>
      </c>
      <c r="X11" s="399">
        <v>20.7</v>
      </c>
      <c r="AA11" s="399">
        <v>7.8</v>
      </c>
      <c r="AC11" s="399">
        <v>20.5</v>
      </c>
      <c r="AD11" s="399">
        <v>20.5</v>
      </c>
      <c r="AE11" s="399">
        <v>20.5</v>
      </c>
      <c r="AF11" s="399">
        <v>310.89999999999998</v>
      </c>
      <c r="AG11" s="399">
        <v>197.4</v>
      </c>
      <c r="AH11" s="399">
        <v>58.3</v>
      </c>
      <c r="AI11" s="399">
        <v>15.1</v>
      </c>
      <c r="AK11" s="361" t="s">
        <v>301</v>
      </c>
      <c r="AL11" s="399">
        <f t="shared" si="5"/>
        <v>544.56000000000006</v>
      </c>
      <c r="AM11" s="399">
        <f t="shared" si="5"/>
        <v>89.28</v>
      </c>
      <c r="AN11" s="399">
        <f t="shared" si="5"/>
        <v>3024</v>
      </c>
      <c r="AO11" s="399">
        <f t="shared" si="5"/>
        <v>24.84</v>
      </c>
      <c r="AP11" s="399">
        <f t="shared" si="5"/>
        <v>0</v>
      </c>
      <c r="AQ11" s="399">
        <f t="shared" si="5"/>
        <v>0</v>
      </c>
      <c r="AR11" s="399">
        <f t="shared" si="5"/>
        <v>9.36</v>
      </c>
      <c r="AS11" s="399"/>
      <c r="AT11" s="399">
        <f t="shared" si="6"/>
        <v>24.6</v>
      </c>
      <c r="AU11" s="399">
        <f t="shared" si="6"/>
        <v>24.6</v>
      </c>
      <c r="AV11" s="399">
        <f t="shared" si="6"/>
        <v>24.6</v>
      </c>
      <c r="AW11" s="399">
        <f t="shared" si="6"/>
        <v>373.08</v>
      </c>
      <c r="AX11" s="399">
        <f t="shared" si="6"/>
        <v>236.88</v>
      </c>
      <c r="AY11" s="399">
        <f t="shared" si="6"/>
        <v>69.959999999999994</v>
      </c>
      <c r="AZ11" s="399">
        <f t="shared" si="6"/>
        <v>18.12</v>
      </c>
      <c r="BB11" s="361" t="s">
        <v>301</v>
      </c>
      <c r="BC11" s="404">
        <f t="shared" si="7"/>
        <v>363.04</v>
      </c>
      <c r="BD11" s="404">
        <f t="shared" si="7"/>
        <v>59.52</v>
      </c>
      <c r="BE11" s="404">
        <f t="shared" si="7"/>
        <v>2016</v>
      </c>
      <c r="BF11" s="404">
        <f t="shared" si="7"/>
        <v>16.559999999999999</v>
      </c>
      <c r="BG11" s="404">
        <f t="shared" si="7"/>
        <v>0</v>
      </c>
      <c r="BH11" s="404">
        <f t="shared" si="7"/>
        <v>0</v>
      </c>
      <c r="BI11" s="404">
        <f t="shared" si="7"/>
        <v>6.24</v>
      </c>
      <c r="BJ11" s="404">
        <f t="shared" si="7"/>
        <v>0</v>
      </c>
      <c r="BK11" s="404">
        <f t="shared" si="7"/>
        <v>16.399999999999999</v>
      </c>
      <c r="BL11" s="404">
        <f t="shared" si="7"/>
        <v>16.399999999999999</v>
      </c>
      <c r="BM11" s="404">
        <f t="shared" si="7"/>
        <v>16.399999999999999</v>
      </c>
      <c r="BN11" s="404">
        <f t="shared" si="7"/>
        <v>248.71999999999997</v>
      </c>
      <c r="BO11" s="404">
        <f t="shared" si="7"/>
        <v>157.92000000000002</v>
      </c>
      <c r="BP11" s="404">
        <f t="shared" si="7"/>
        <v>46.64</v>
      </c>
      <c r="BQ11" s="404">
        <f t="shared" si="7"/>
        <v>12.08</v>
      </c>
    </row>
    <row r="12" spans="1:71" ht="24.95" customHeight="1" x14ac:dyDescent="0.25">
      <c r="A12" s="351" t="s">
        <v>237</v>
      </c>
      <c r="B12" s="669" t="s">
        <v>238</v>
      </c>
      <c r="C12" s="401" t="s">
        <v>229</v>
      </c>
      <c r="D12" s="386">
        <v>794</v>
      </c>
      <c r="E12" s="386">
        <v>1923</v>
      </c>
      <c r="F12" s="386">
        <v>1026</v>
      </c>
      <c r="G12" s="386">
        <v>5827</v>
      </c>
      <c r="H12" s="386" t="s">
        <v>302</v>
      </c>
      <c r="I12" s="386">
        <v>313</v>
      </c>
      <c r="J12" s="386">
        <v>226</v>
      </c>
      <c r="K12" s="685"/>
      <c r="L12" s="386">
        <v>1399</v>
      </c>
      <c r="M12" s="386">
        <v>1503</v>
      </c>
      <c r="N12" s="386">
        <v>1439</v>
      </c>
      <c r="O12" s="386">
        <v>953</v>
      </c>
      <c r="P12" s="386">
        <v>902</v>
      </c>
      <c r="Q12" s="386">
        <v>829</v>
      </c>
      <c r="R12" s="414">
        <v>2059</v>
      </c>
      <c r="T12" s="361" t="s">
        <v>237</v>
      </c>
      <c r="U12" s="399">
        <v>900</v>
      </c>
      <c r="V12" s="415">
        <v>1300</v>
      </c>
      <c r="W12" s="415">
        <v>1000</v>
      </c>
      <c r="X12" s="415">
        <v>5500</v>
      </c>
      <c r="AA12" s="415">
        <v>3500</v>
      </c>
      <c r="AC12" s="399">
        <v>3700</v>
      </c>
      <c r="AD12" s="399">
        <v>3700</v>
      </c>
      <c r="AE12" s="399">
        <v>3700</v>
      </c>
      <c r="AF12" s="399">
        <v>800</v>
      </c>
      <c r="AG12" s="399">
        <v>900</v>
      </c>
      <c r="AH12" s="399">
        <v>700</v>
      </c>
      <c r="AI12" s="415">
        <v>2800</v>
      </c>
      <c r="AK12" s="361" t="s">
        <v>237</v>
      </c>
      <c r="AL12" s="399">
        <f t="shared" ref="AL12:AZ23" si="8">U12*2</f>
        <v>1800</v>
      </c>
      <c r="AM12" s="399">
        <f t="shared" si="8"/>
        <v>2600</v>
      </c>
      <c r="AN12" s="399">
        <f t="shared" si="8"/>
        <v>2000</v>
      </c>
      <c r="AO12" s="399">
        <f t="shared" si="8"/>
        <v>11000</v>
      </c>
      <c r="AP12" s="399">
        <f t="shared" si="8"/>
        <v>0</v>
      </c>
      <c r="AQ12" s="399">
        <f t="shared" si="8"/>
        <v>0</v>
      </c>
      <c r="AR12" s="399">
        <f t="shared" si="8"/>
        <v>7000</v>
      </c>
      <c r="AS12" s="399">
        <f t="shared" si="8"/>
        <v>0</v>
      </c>
      <c r="AT12" s="399">
        <f t="shared" si="8"/>
        <v>7400</v>
      </c>
      <c r="AU12" s="399">
        <f t="shared" si="8"/>
        <v>7400</v>
      </c>
      <c r="AV12" s="399">
        <f t="shared" si="8"/>
        <v>7400</v>
      </c>
      <c r="AW12" s="399">
        <f t="shared" si="8"/>
        <v>1600</v>
      </c>
      <c r="AX12" s="399">
        <f t="shared" si="8"/>
        <v>1800</v>
      </c>
      <c r="AY12" s="399">
        <f t="shared" si="8"/>
        <v>1400</v>
      </c>
      <c r="AZ12" s="399">
        <f t="shared" si="8"/>
        <v>5600</v>
      </c>
      <c r="BB12" s="361" t="s">
        <v>237</v>
      </c>
      <c r="BC12" s="399">
        <f>U12/2</f>
        <v>450</v>
      </c>
      <c r="BD12" s="399">
        <f t="shared" ref="BD12:BQ23" si="9">V12-((50/100)*V12)</f>
        <v>650</v>
      </c>
      <c r="BE12" s="399">
        <f t="shared" si="9"/>
        <v>500</v>
      </c>
      <c r="BF12" s="399">
        <f t="shared" si="9"/>
        <v>2750</v>
      </c>
      <c r="BG12" s="399">
        <f t="shared" si="9"/>
        <v>0</v>
      </c>
      <c r="BH12" s="399">
        <f t="shared" si="9"/>
        <v>0</v>
      </c>
      <c r="BI12" s="399">
        <f t="shared" si="9"/>
        <v>1750</v>
      </c>
      <c r="BJ12" s="399">
        <f t="shared" si="9"/>
        <v>0</v>
      </c>
      <c r="BK12" s="399">
        <f t="shared" si="9"/>
        <v>1850</v>
      </c>
      <c r="BL12" s="399">
        <f t="shared" si="9"/>
        <v>1850</v>
      </c>
      <c r="BM12" s="399">
        <f t="shared" si="9"/>
        <v>1850</v>
      </c>
      <c r="BN12" s="399">
        <f t="shared" si="9"/>
        <v>400</v>
      </c>
      <c r="BO12" s="399">
        <f t="shared" si="9"/>
        <v>450</v>
      </c>
      <c r="BP12" s="399">
        <f t="shared" si="9"/>
        <v>350</v>
      </c>
      <c r="BQ12" s="399">
        <f t="shared" si="9"/>
        <v>1400</v>
      </c>
    </row>
    <row r="13" spans="1:71" ht="24.75" customHeight="1" x14ac:dyDescent="0.25">
      <c r="A13" s="351" t="s">
        <v>239</v>
      </c>
      <c r="B13" s="670"/>
      <c r="C13" s="401" t="s">
        <v>229</v>
      </c>
      <c r="D13" s="386">
        <v>4827</v>
      </c>
      <c r="E13" s="386">
        <v>1734</v>
      </c>
      <c r="F13" s="386">
        <v>23807</v>
      </c>
      <c r="G13" s="386">
        <v>5654</v>
      </c>
      <c r="H13" s="386">
        <v>199</v>
      </c>
      <c r="I13" s="386">
        <v>983</v>
      </c>
      <c r="J13" s="386">
        <v>2034</v>
      </c>
      <c r="K13" s="685"/>
      <c r="L13" s="386">
        <v>8247</v>
      </c>
      <c r="M13" s="386">
        <v>4069</v>
      </c>
      <c r="N13" s="386">
        <v>5157</v>
      </c>
      <c r="O13" s="386">
        <v>2619</v>
      </c>
      <c r="P13" s="386">
        <v>3208</v>
      </c>
      <c r="Q13" s="386">
        <v>2974</v>
      </c>
      <c r="R13" s="414">
        <v>4220</v>
      </c>
      <c r="T13" s="361" t="s">
        <v>239</v>
      </c>
      <c r="U13" s="415">
        <v>2706</v>
      </c>
      <c r="V13" s="415">
        <v>1515</v>
      </c>
      <c r="W13" s="415">
        <v>1970</v>
      </c>
      <c r="X13" s="415">
        <v>6676</v>
      </c>
      <c r="AA13" s="415">
        <v>1533</v>
      </c>
      <c r="AC13" s="399">
        <v>5858</v>
      </c>
      <c r="AD13" s="399">
        <v>5858</v>
      </c>
      <c r="AE13" s="399">
        <v>5858</v>
      </c>
      <c r="AF13" s="399">
        <v>1908</v>
      </c>
      <c r="AG13" s="415">
        <v>1725</v>
      </c>
      <c r="AH13" s="415">
        <v>4466</v>
      </c>
      <c r="AI13" s="415">
        <v>4093</v>
      </c>
      <c r="AK13" s="361" t="s">
        <v>239</v>
      </c>
      <c r="AL13" s="399">
        <f t="shared" si="8"/>
        <v>5412</v>
      </c>
      <c r="AM13" s="399">
        <f t="shared" si="8"/>
        <v>3030</v>
      </c>
      <c r="AN13" s="399">
        <f t="shared" si="8"/>
        <v>3940</v>
      </c>
      <c r="AO13" s="399">
        <f t="shared" si="8"/>
        <v>13352</v>
      </c>
      <c r="AP13" s="399">
        <f t="shared" si="8"/>
        <v>0</v>
      </c>
      <c r="AQ13" s="399">
        <f t="shared" si="8"/>
        <v>0</v>
      </c>
      <c r="AR13" s="399">
        <f t="shared" si="8"/>
        <v>3066</v>
      </c>
      <c r="AS13" s="399">
        <f t="shared" si="8"/>
        <v>0</v>
      </c>
      <c r="AT13" s="399">
        <f t="shared" si="8"/>
        <v>11716</v>
      </c>
      <c r="AU13" s="399">
        <f t="shared" si="8"/>
        <v>11716</v>
      </c>
      <c r="AV13" s="399">
        <f t="shared" si="8"/>
        <v>11716</v>
      </c>
      <c r="AW13" s="399">
        <f t="shared" si="8"/>
        <v>3816</v>
      </c>
      <c r="AX13" s="399">
        <f t="shared" si="8"/>
        <v>3450</v>
      </c>
      <c r="AY13" s="399">
        <f t="shared" si="8"/>
        <v>8932</v>
      </c>
      <c r="AZ13" s="399">
        <f t="shared" si="8"/>
        <v>8186</v>
      </c>
      <c r="BB13" s="361" t="s">
        <v>239</v>
      </c>
      <c r="BC13" s="399">
        <f t="shared" ref="BC13:BC23" si="10">U13/2</f>
        <v>1353</v>
      </c>
      <c r="BD13" s="399">
        <f t="shared" si="9"/>
        <v>757.5</v>
      </c>
      <c r="BE13" s="399">
        <f t="shared" si="9"/>
        <v>985</v>
      </c>
      <c r="BF13" s="399">
        <f t="shared" si="9"/>
        <v>3338</v>
      </c>
      <c r="BG13" s="399">
        <f t="shared" si="9"/>
        <v>0</v>
      </c>
      <c r="BH13" s="399">
        <f t="shared" si="9"/>
        <v>0</v>
      </c>
      <c r="BI13" s="399">
        <f t="shared" si="9"/>
        <v>766.5</v>
      </c>
      <c r="BJ13" s="399">
        <f t="shared" si="9"/>
        <v>0</v>
      </c>
      <c r="BK13" s="399">
        <f t="shared" si="9"/>
        <v>2929</v>
      </c>
      <c r="BL13" s="399">
        <f t="shared" si="9"/>
        <v>2929</v>
      </c>
      <c r="BM13" s="399">
        <f t="shared" si="9"/>
        <v>2929</v>
      </c>
      <c r="BN13" s="399">
        <f t="shared" si="9"/>
        <v>954</v>
      </c>
      <c r="BO13" s="399">
        <f t="shared" si="9"/>
        <v>862.5</v>
      </c>
      <c r="BP13" s="399">
        <f t="shared" si="9"/>
        <v>2233</v>
      </c>
      <c r="BQ13" s="399">
        <f t="shared" si="9"/>
        <v>2046.5</v>
      </c>
    </row>
    <row r="14" spans="1:71" ht="24.75" customHeight="1" x14ac:dyDescent="0.25">
      <c r="A14" s="351" t="s">
        <v>240</v>
      </c>
      <c r="B14" s="671"/>
      <c r="C14" s="401" t="s">
        <v>229</v>
      </c>
      <c r="D14" s="416">
        <v>504</v>
      </c>
      <c r="E14" s="416">
        <v>22</v>
      </c>
      <c r="F14" s="382">
        <v>26</v>
      </c>
      <c r="G14" s="416">
        <v>181</v>
      </c>
      <c r="H14" s="416">
        <v>47</v>
      </c>
      <c r="I14" s="382" t="s">
        <v>302</v>
      </c>
      <c r="J14" s="416">
        <v>83</v>
      </c>
      <c r="K14" s="685"/>
      <c r="L14" s="416">
        <v>30</v>
      </c>
      <c r="M14" s="394">
        <v>94</v>
      </c>
      <c r="N14" s="382">
        <v>54</v>
      </c>
      <c r="O14" s="382">
        <v>102</v>
      </c>
      <c r="P14" s="416">
        <v>121</v>
      </c>
      <c r="Q14" s="416">
        <v>24</v>
      </c>
      <c r="R14" s="409">
        <v>90</v>
      </c>
      <c r="T14" s="361" t="s">
        <v>240</v>
      </c>
      <c r="U14" s="399">
        <v>38.5</v>
      </c>
      <c r="V14" s="399">
        <v>582</v>
      </c>
      <c r="W14" s="399">
        <v>48.1</v>
      </c>
      <c r="X14" s="399">
        <v>173</v>
      </c>
      <c r="AA14" s="399">
        <v>18.5</v>
      </c>
      <c r="AC14" s="399">
        <v>29.6</v>
      </c>
      <c r="AD14" s="399">
        <v>29.6</v>
      </c>
      <c r="AE14" s="399">
        <v>29.6</v>
      </c>
      <c r="AF14" s="399">
        <v>62</v>
      </c>
      <c r="AG14" s="399">
        <v>51.3</v>
      </c>
      <c r="AH14" s="399">
        <v>24.6</v>
      </c>
      <c r="AI14" s="399">
        <v>342</v>
      </c>
      <c r="AK14" s="361" t="s">
        <v>240</v>
      </c>
      <c r="AL14" s="399">
        <f t="shared" si="8"/>
        <v>77</v>
      </c>
      <c r="AM14" s="399">
        <f t="shared" si="8"/>
        <v>1164</v>
      </c>
      <c r="AN14" s="399">
        <f t="shared" si="8"/>
        <v>96.2</v>
      </c>
      <c r="AO14" s="399">
        <f t="shared" si="8"/>
        <v>346</v>
      </c>
      <c r="AP14" s="399">
        <f t="shared" si="8"/>
        <v>0</v>
      </c>
      <c r="AQ14" s="399">
        <f t="shared" si="8"/>
        <v>0</v>
      </c>
      <c r="AR14" s="399">
        <f t="shared" si="8"/>
        <v>37</v>
      </c>
      <c r="AS14" s="399">
        <f t="shared" si="8"/>
        <v>0</v>
      </c>
      <c r="AT14" s="399">
        <f t="shared" si="8"/>
        <v>59.2</v>
      </c>
      <c r="AU14" s="399">
        <f t="shared" si="8"/>
        <v>59.2</v>
      </c>
      <c r="AV14" s="399">
        <f t="shared" si="8"/>
        <v>59.2</v>
      </c>
      <c r="AW14" s="399">
        <f t="shared" si="8"/>
        <v>124</v>
      </c>
      <c r="AX14" s="399">
        <f t="shared" si="8"/>
        <v>102.6</v>
      </c>
      <c r="AY14" s="399">
        <f t="shared" si="8"/>
        <v>49.2</v>
      </c>
      <c r="AZ14" s="399">
        <f t="shared" si="8"/>
        <v>684</v>
      </c>
      <c r="BB14" s="361" t="s">
        <v>240</v>
      </c>
      <c r="BC14" s="399">
        <f t="shared" si="10"/>
        <v>19.25</v>
      </c>
      <c r="BD14" s="399">
        <f t="shared" si="9"/>
        <v>291</v>
      </c>
      <c r="BE14" s="399">
        <f t="shared" si="9"/>
        <v>24.05</v>
      </c>
      <c r="BF14" s="399">
        <f t="shared" si="9"/>
        <v>86.5</v>
      </c>
      <c r="BG14" s="399">
        <f t="shared" si="9"/>
        <v>0</v>
      </c>
      <c r="BH14" s="399">
        <f t="shared" si="9"/>
        <v>0</v>
      </c>
      <c r="BI14" s="399">
        <f t="shared" si="9"/>
        <v>9.25</v>
      </c>
      <c r="BJ14" s="399">
        <f t="shared" si="9"/>
        <v>0</v>
      </c>
      <c r="BK14" s="399">
        <f t="shared" si="9"/>
        <v>14.8</v>
      </c>
      <c r="BL14" s="399">
        <f t="shared" si="9"/>
        <v>14.8</v>
      </c>
      <c r="BM14" s="399">
        <f t="shared" si="9"/>
        <v>14.8</v>
      </c>
      <c r="BN14" s="399">
        <f t="shared" si="9"/>
        <v>31</v>
      </c>
      <c r="BO14" s="399">
        <f t="shared" si="9"/>
        <v>25.65</v>
      </c>
      <c r="BP14" s="399">
        <f t="shared" si="9"/>
        <v>12.3</v>
      </c>
      <c r="BQ14" s="399">
        <f t="shared" si="9"/>
        <v>171</v>
      </c>
    </row>
    <row r="15" spans="1:71" ht="24.75" customHeight="1" x14ac:dyDescent="0.25">
      <c r="A15" s="351" t="s">
        <v>241</v>
      </c>
      <c r="B15" s="352" t="s">
        <v>228</v>
      </c>
      <c r="C15" s="401" t="s">
        <v>229</v>
      </c>
      <c r="D15" s="382">
        <v>6</v>
      </c>
      <c r="E15" s="382">
        <v>4.7</v>
      </c>
      <c r="F15" s="382">
        <v>9.1999999999999993</v>
      </c>
      <c r="G15" s="382">
        <v>10.1</v>
      </c>
      <c r="H15" s="382">
        <v>1</v>
      </c>
      <c r="I15" s="382">
        <v>4.0999999999999996</v>
      </c>
      <c r="J15" s="382">
        <v>5.6</v>
      </c>
      <c r="K15" s="685"/>
      <c r="L15" s="382">
        <v>4</v>
      </c>
      <c r="M15" s="394">
        <v>7.7</v>
      </c>
      <c r="N15" s="382">
        <v>32.1</v>
      </c>
      <c r="O15" s="382">
        <v>8.4</v>
      </c>
      <c r="P15" s="382">
        <v>9.6</v>
      </c>
      <c r="Q15" s="382">
        <v>5.9</v>
      </c>
      <c r="R15" s="409">
        <v>227.1</v>
      </c>
      <c r="T15" s="361" t="s">
        <v>241</v>
      </c>
      <c r="AK15" s="361" t="s">
        <v>241</v>
      </c>
      <c r="AL15" s="417"/>
      <c r="AM15" s="417"/>
      <c r="AN15" s="417"/>
      <c r="AO15" s="417"/>
      <c r="AP15" s="417"/>
      <c r="AQ15" s="417"/>
      <c r="AR15" s="417"/>
      <c r="AS15" s="417"/>
      <c r="AT15" s="417"/>
      <c r="AU15" s="417"/>
      <c r="AV15" s="417"/>
      <c r="AW15" s="417"/>
      <c r="AX15" s="417"/>
      <c r="AY15" s="417"/>
      <c r="AZ15" s="417"/>
      <c r="BB15" s="361" t="s">
        <v>241</v>
      </c>
      <c r="BC15" s="399"/>
      <c r="BD15" s="399"/>
      <c r="BE15" s="399"/>
      <c r="BF15" s="399"/>
      <c r="BG15" s="399"/>
      <c r="BH15" s="399"/>
      <c r="BI15" s="399"/>
      <c r="BJ15" s="399"/>
      <c r="BK15" s="399"/>
      <c r="BL15" s="399"/>
      <c r="BM15" s="399"/>
      <c r="BN15" s="399"/>
      <c r="BO15" s="399"/>
      <c r="BP15" s="399"/>
      <c r="BQ15" s="399"/>
    </row>
    <row r="16" spans="1:71" ht="24.75" customHeight="1" x14ac:dyDescent="0.25">
      <c r="A16" s="351" t="s">
        <v>242</v>
      </c>
      <c r="B16" s="352" t="s">
        <v>228</v>
      </c>
      <c r="C16" s="401" t="s">
        <v>229</v>
      </c>
      <c r="D16" s="382">
        <v>27.5</v>
      </c>
      <c r="E16" s="382">
        <v>14.5</v>
      </c>
      <c r="F16" s="382">
        <v>10.5</v>
      </c>
      <c r="G16" s="382">
        <v>7.4</v>
      </c>
      <c r="H16" s="382" t="s">
        <v>271</v>
      </c>
      <c r="I16" s="386">
        <v>881.4</v>
      </c>
      <c r="J16" s="382">
        <v>1.1000000000000001</v>
      </c>
      <c r="K16" s="685"/>
      <c r="L16" s="383">
        <v>8.6</v>
      </c>
      <c r="M16" s="394">
        <v>9.9</v>
      </c>
      <c r="N16" s="382">
        <v>27.4</v>
      </c>
      <c r="O16" s="382">
        <v>30.6</v>
      </c>
      <c r="P16" s="382">
        <v>26.5</v>
      </c>
      <c r="Q16" s="382">
        <v>355.1</v>
      </c>
      <c r="R16" s="409">
        <v>42.7</v>
      </c>
      <c r="T16" s="361" t="s">
        <v>242</v>
      </c>
      <c r="U16" s="399">
        <v>42.7</v>
      </c>
      <c r="V16" s="399">
        <v>24</v>
      </c>
      <c r="W16" s="399">
        <v>97.4</v>
      </c>
      <c r="X16" s="399">
        <v>50.8</v>
      </c>
      <c r="Y16" s="399">
        <v>11.7</v>
      </c>
      <c r="Z16" s="399">
        <v>264.2</v>
      </c>
      <c r="AA16" s="399">
        <v>46.6</v>
      </c>
      <c r="AC16" s="399">
        <v>22</v>
      </c>
      <c r="AD16" s="399">
        <v>22</v>
      </c>
      <c r="AE16" s="399">
        <v>22</v>
      </c>
      <c r="AF16" s="399">
        <v>40.200000000000003</v>
      </c>
      <c r="AG16" s="399">
        <v>30.8</v>
      </c>
      <c r="AH16" s="399">
        <v>34.9</v>
      </c>
      <c r="AI16" s="399">
        <v>74.2</v>
      </c>
      <c r="AK16" s="361" t="s">
        <v>242</v>
      </c>
      <c r="AL16" s="399">
        <f t="shared" si="8"/>
        <v>85.4</v>
      </c>
      <c r="AM16" s="399">
        <f t="shared" si="8"/>
        <v>48</v>
      </c>
      <c r="AN16" s="399">
        <f t="shared" si="8"/>
        <v>194.8</v>
      </c>
      <c r="AO16" s="399">
        <f t="shared" si="8"/>
        <v>101.6</v>
      </c>
      <c r="AP16" s="399">
        <f t="shared" si="8"/>
        <v>23.4</v>
      </c>
      <c r="AQ16" s="399">
        <f t="shared" si="8"/>
        <v>528.4</v>
      </c>
      <c r="AR16" s="399">
        <f t="shared" si="8"/>
        <v>93.2</v>
      </c>
      <c r="AS16" s="399">
        <f t="shared" si="8"/>
        <v>0</v>
      </c>
      <c r="AT16" s="399">
        <f t="shared" si="8"/>
        <v>44</v>
      </c>
      <c r="AU16" s="399">
        <f t="shared" si="8"/>
        <v>44</v>
      </c>
      <c r="AV16" s="399">
        <f t="shared" si="8"/>
        <v>44</v>
      </c>
      <c r="AW16" s="399">
        <f t="shared" si="8"/>
        <v>80.400000000000006</v>
      </c>
      <c r="AX16" s="399">
        <f t="shared" si="8"/>
        <v>61.6</v>
      </c>
      <c r="AY16" s="399">
        <f t="shared" si="8"/>
        <v>69.8</v>
      </c>
      <c r="AZ16" s="399">
        <f t="shared" si="8"/>
        <v>148.4</v>
      </c>
      <c r="BB16" s="361" t="s">
        <v>242</v>
      </c>
      <c r="BC16" s="399">
        <f t="shared" si="10"/>
        <v>21.35</v>
      </c>
      <c r="BD16" s="399">
        <f t="shared" si="9"/>
        <v>12</v>
      </c>
      <c r="BE16" s="399">
        <f t="shared" si="9"/>
        <v>48.7</v>
      </c>
      <c r="BF16" s="399">
        <f t="shared" si="9"/>
        <v>25.4</v>
      </c>
      <c r="BG16" s="399">
        <f t="shared" si="9"/>
        <v>5.85</v>
      </c>
      <c r="BH16" s="399">
        <f t="shared" si="9"/>
        <v>132.1</v>
      </c>
      <c r="BI16" s="399">
        <f t="shared" si="9"/>
        <v>23.3</v>
      </c>
      <c r="BJ16" s="399">
        <f t="shared" si="9"/>
        <v>0</v>
      </c>
      <c r="BK16" s="399">
        <f t="shared" si="9"/>
        <v>11</v>
      </c>
      <c r="BL16" s="399">
        <f t="shared" si="9"/>
        <v>11</v>
      </c>
      <c r="BM16" s="399">
        <f t="shared" si="9"/>
        <v>11</v>
      </c>
      <c r="BN16" s="399">
        <f t="shared" si="9"/>
        <v>20.100000000000001</v>
      </c>
      <c r="BO16" s="399">
        <f t="shared" si="9"/>
        <v>15.4</v>
      </c>
      <c r="BP16" s="399">
        <f t="shared" si="9"/>
        <v>17.45</v>
      </c>
      <c r="BQ16" s="399">
        <f t="shared" si="9"/>
        <v>37.1</v>
      </c>
    </row>
    <row r="17" spans="1:71" ht="24.75" customHeight="1" x14ac:dyDescent="0.25">
      <c r="A17" s="351" t="s">
        <v>243</v>
      </c>
      <c r="B17" s="352" t="s">
        <v>228</v>
      </c>
      <c r="C17" s="401" t="s">
        <v>229</v>
      </c>
      <c r="D17" s="416" t="s">
        <v>271</v>
      </c>
      <c r="E17" s="416">
        <v>0.3</v>
      </c>
      <c r="F17" s="382">
        <v>0.1</v>
      </c>
      <c r="G17" s="382">
        <v>0.3</v>
      </c>
      <c r="H17" s="416" t="s">
        <v>271</v>
      </c>
      <c r="I17" s="382" t="s">
        <v>271</v>
      </c>
      <c r="J17" s="416">
        <v>1</v>
      </c>
      <c r="K17" s="685"/>
      <c r="L17" s="416" t="s">
        <v>271</v>
      </c>
      <c r="M17" s="394">
        <v>0.2</v>
      </c>
      <c r="N17" s="382">
        <v>0.4</v>
      </c>
      <c r="O17" s="416" t="s">
        <v>271</v>
      </c>
      <c r="P17" s="382" t="s">
        <v>271</v>
      </c>
      <c r="Q17" s="416" t="s">
        <v>271</v>
      </c>
      <c r="R17" s="409">
        <v>2</v>
      </c>
      <c r="T17" s="361" t="s">
        <v>243</v>
      </c>
      <c r="U17" s="399">
        <v>2.74</v>
      </c>
      <c r="V17" s="399">
        <v>0.68</v>
      </c>
      <c r="W17" s="399">
        <v>5.19</v>
      </c>
      <c r="X17" s="399">
        <v>0.91</v>
      </c>
      <c r="Y17" s="399">
        <v>0.65</v>
      </c>
      <c r="Z17" s="399">
        <v>0.25</v>
      </c>
      <c r="AA17" s="399">
        <v>0.41</v>
      </c>
      <c r="AC17" s="399">
        <v>0.25</v>
      </c>
      <c r="AD17" s="399">
        <v>0.25</v>
      </c>
      <c r="AE17" s="399">
        <v>0.25</v>
      </c>
      <c r="AF17" s="399">
        <v>0.42</v>
      </c>
      <c r="AG17" s="399">
        <v>0.28000000000000003</v>
      </c>
      <c r="AH17" s="399">
        <v>0.92</v>
      </c>
      <c r="AI17" s="399">
        <v>1.17</v>
      </c>
      <c r="AK17" s="361" t="s">
        <v>243</v>
      </c>
      <c r="AL17" s="399">
        <f t="shared" si="8"/>
        <v>5.48</v>
      </c>
      <c r="AM17" s="399">
        <f t="shared" si="8"/>
        <v>1.36</v>
      </c>
      <c r="AN17" s="399">
        <f t="shared" si="8"/>
        <v>10.38</v>
      </c>
      <c r="AO17" s="399">
        <f t="shared" si="8"/>
        <v>1.82</v>
      </c>
      <c r="AP17" s="399">
        <f t="shared" si="8"/>
        <v>1.3</v>
      </c>
      <c r="AQ17" s="399">
        <f t="shared" si="8"/>
        <v>0.5</v>
      </c>
      <c r="AR17" s="399">
        <f t="shared" si="8"/>
        <v>0.82</v>
      </c>
      <c r="AS17" s="399">
        <f t="shared" si="8"/>
        <v>0</v>
      </c>
      <c r="AT17" s="399">
        <f t="shared" si="8"/>
        <v>0.5</v>
      </c>
      <c r="AU17" s="399">
        <f t="shared" si="8"/>
        <v>0.5</v>
      </c>
      <c r="AV17" s="399">
        <f t="shared" si="8"/>
        <v>0.5</v>
      </c>
      <c r="AW17" s="399">
        <f t="shared" si="8"/>
        <v>0.84</v>
      </c>
      <c r="AX17" s="399">
        <f t="shared" si="8"/>
        <v>0.56000000000000005</v>
      </c>
      <c r="AY17" s="399">
        <f t="shared" si="8"/>
        <v>1.84</v>
      </c>
      <c r="AZ17" s="399">
        <f t="shared" si="8"/>
        <v>2.34</v>
      </c>
      <c r="BB17" s="361" t="s">
        <v>243</v>
      </c>
      <c r="BC17" s="399">
        <f t="shared" si="10"/>
        <v>1.37</v>
      </c>
      <c r="BD17" s="399">
        <f t="shared" si="9"/>
        <v>0.34</v>
      </c>
      <c r="BE17" s="399">
        <f t="shared" si="9"/>
        <v>2.5950000000000002</v>
      </c>
      <c r="BF17" s="399">
        <f t="shared" si="9"/>
        <v>0.45500000000000002</v>
      </c>
      <c r="BG17" s="399">
        <f t="shared" si="9"/>
        <v>0.32500000000000001</v>
      </c>
      <c r="BH17" s="399">
        <f t="shared" si="9"/>
        <v>0.125</v>
      </c>
      <c r="BI17" s="399">
        <f t="shared" si="9"/>
        <v>0.20499999999999999</v>
      </c>
      <c r="BJ17" s="399">
        <f t="shared" si="9"/>
        <v>0</v>
      </c>
      <c r="BK17" s="399">
        <f t="shared" si="9"/>
        <v>0.125</v>
      </c>
      <c r="BL17" s="399">
        <f t="shared" si="9"/>
        <v>0.125</v>
      </c>
      <c r="BM17" s="399">
        <f t="shared" si="9"/>
        <v>0.125</v>
      </c>
      <c r="BN17" s="399">
        <f t="shared" si="9"/>
        <v>0.21</v>
      </c>
      <c r="BO17" s="399">
        <f t="shared" si="9"/>
        <v>0.14000000000000001</v>
      </c>
      <c r="BP17" s="399">
        <f t="shared" si="9"/>
        <v>0.46</v>
      </c>
      <c r="BQ17" s="399">
        <f t="shared" si="9"/>
        <v>0.58499999999999996</v>
      </c>
    </row>
    <row r="18" spans="1:71" ht="24.75" customHeight="1" x14ac:dyDescent="0.25">
      <c r="A18" s="351" t="s">
        <v>244</v>
      </c>
      <c r="B18" s="352" t="s">
        <v>228</v>
      </c>
      <c r="C18" s="401" t="s">
        <v>229</v>
      </c>
      <c r="D18" s="382">
        <v>4</v>
      </c>
      <c r="E18" s="382">
        <v>74.599999999999994</v>
      </c>
      <c r="F18" s="382">
        <v>3.5</v>
      </c>
      <c r="G18" s="382">
        <v>2.2000000000000002</v>
      </c>
      <c r="H18" s="382">
        <v>6.4</v>
      </c>
      <c r="I18" s="418">
        <v>574.29999999999995</v>
      </c>
      <c r="J18" s="382">
        <v>51</v>
      </c>
      <c r="K18" s="685"/>
      <c r="L18" s="382">
        <v>1.1000000000000001</v>
      </c>
      <c r="M18" s="394">
        <v>2.2999999999999998</v>
      </c>
      <c r="N18" s="382">
        <v>17.7</v>
      </c>
      <c r="O18" s="382">
        <v>6.9</v>
      </c>
      <c r="P18" s="382">
        <v>4.2</v>
      </c>
      <c r="Q18" s="382">
        <v>1.7</v>
      </c>
      <c r="R18" s="409">
        <v>28.8</v>
      </c>
      <c r="T18" s="361" t="s">
        <v>244</v>
      </c>
      <c r="U18" s="399">
        <v>15.5</v>
      </c>
      <c r="V18" s="399">
        <v>27.1</v>
      </c>
      <c r="W18" s="399">
        <v>17.7</v>
      </c>
      <c r="X18" s="399">
        <v>63.4</v>
      </c>
      <c r="Y18" s="399">
        <v>534</v>
      </c>
      <c r="Z18" s="399">
        <v>153</v>
      </c>
      <c r="AA18" s="399">
        <v>33.700000000000003</v>
      </c>
      <c r="AC18" s="399">
        <v>10.7</v>
      </c>
      <c r="AD18" s="399">
        <v>10.7</v>
      </c>
      <c r="AE18" s="399">
        <v>10.7</v>
      </c>
      <c r="AF18" s="399">
        <v>8</v>
      </c>
      <c r="AG18" s="399">
        <v>9.5</v>
      </c>
      <c r="AH18" s="399">
        <v>10.3</v>
      </c>
      <c r="AI18" s="399">
        <v>86</v>
      </c>
      <c r="AK18" s="361" t="s">
        <v>244</v>
      </c>
      <c r="AL18" s="399">
        <f t="shared" si="8"/>
        <v>31</v>
      </c>
      <c r="AM18" s="399">
        <f t="shared" si="8"/>
        <v>54.2</v>
      </c>
      <c r="AN18" s="399">
        <f t="shared" si="8"/>
        <v>35.4</v>
      </c>
      <c r="AO18" s="399">
        <f t="shared" si="8"/>
        <v>126.8</v>
      </c>
      <c r="AP18" s="399">
        <f t="shared" si="8"/>
        <v>1068</v>
      </c>
      <c r="AQ18" s="399">
        <f t="shared" si="8"/>
        <v>306</v>
      </c>
      <c r="AR18" s="399">
        <f t="shared" si="8"/>
        <v>67.400000000000006</v>
      </c>
      <c r="AS18" s="399">
        <f t="shared" si="8"/>
        <v>0</v>
      </c>
      <c r="AT18" s="399">
        <f t="shared" si="8"/>
        <v>21.4</v>
      </c>
      <c r="AU18" s="399">
        <f t="shared" si="8"/>
        <v>21.4</v>
      </c>
      <c r="AV18" s="399">
        <f t="shared" si="8"/>
        <v>21.4</v>
      </c>
      <c r="AW18" s="399">
        <f t="shared" si="8"/>
        <v>16</v>
      </c>
      <c r="AX18" s="399">
        <f t="shared" si="8"/>
        <v>19</v>
      </c>
      <c r="AY18" s="399">
        <f t="shared" si="8"/>
        <v>20.6</v>
      </c>
      <c r="AZ18" s="399">
        <f t="shared" si="8"/>
        <v>172</v>
      </c>
      <c r="BB18" s="361" t="s">
        <v>244</v>
      </c>
      <c r="BC18" s="399">
        <f t="shared" si="10"/>
        <v>7.75</v>
      </c>
      <c r="BD18" s="399">
        <f t="shared" si="9"/>
        <v>13.55</v>
      </c>
      <c r="BE18" s="399">
        <f t="shared" si="9"/>
        <v>8.85</v>
      </c>
      <c r="BF18" s="399">
        <f t="shared" si="9"/>
        <v>31.7</v>
      </c>
      <c r="BG18" s="399">
        <f t="shared" si="9"/>
        <v>267</v>
      </c>
      <c r="BH18" s="399">
        <f t="shared" si="9"/>
        <v>76.5</v>
      </c>
      <c r="BI18" s="399">
        <f t="shared" si="9"/>
        <v>16.850000000000001</v>
      </c>
      <c r="BJ18" s="399">
        <f t="shared" si="9"/>
        <v>0</v>
      </c>
      <c r="BK18" s="399">
        <f t="shared" si="9"/>
        <v>5.35</v>
      </c>
      <c r="BL18" s="399">
        <f t="shared" si="9"/>
        <v>5.35</v>
      </c>
      <c r="BM18" s="399">
        <f t="shared" si="9"/>
        <v>5.35</v>
      </c>
      <c r="BN18" s="399">
        <f t="shared" si="9"/>
        <v>4</v>
      </c>
      <c r="BO18" s="399">
        <f t="shared" si="9"/>
        <v>4.75</v>
      </c>
      <c r="BP18" s="399">
        <f t="shared" si="9"/>
        <v>5.15</v>
      </c>
      <c r="BQ18" s="399">
        <f t="shared" si="9"/>
        <v>43</v>
      </c>
    </row>
    <row r="19" spans="1:71" ht="24.75" customHeight="1" x14ac:dyDescent="0.25">
      <c r="A19" s="351" t="s">
        <v>245</v>
      </c>
      <c r="B19" s="352" t="s">
        <v>228</v>
      </c>
      <c r="C19" s="401" t="s">
        <v>229</v>
      </c>
      <c r="D19" s="382">
        <v>3.6</v>
      </c>
      <c r="E19" s="382">
        <v>3.9</v>
      </c>
      <c r="F19" s="382">
        <v>3.2</v>
      </c>
      <c r="G19" s="382">
        <v>1.3</v>
      </c>
      <c r="H19" s="382" t="s">
        <v>271</v>
      </c>
      <c r="I19" s="382">
        <v>40</v>
      </c>
      <c r="J19" s="382">
        <v>1.1000000000000001</v>
      </c>
      <c r="K19" s="685"/>
      <c r="L19" s="382" t="s">
        <v>303</v>
      </c>
      <c r="M19" s="394">
        <v>1.8</v>
      </c>
      <c r="N19" s="382">
        <v>9.1</v>
      </c>
      <c r="O19" s="382">
        <v>2.4</v>
      </c>
      <c r="P19" s="382">
        <v>1.9</v>
      </c>
      <c r="Q19" s="382">
        <v>1.2</v>
      </c>
      <c r="R19" s="409">
        <v>13.4</v>
      </c>
      <c r="T19" s="361" t="s">
        <v>245</v>
      </c>
      <c r="U19" s="399">
        <v>10.9</v>
      </c>
      <c r="V19" s="399">
        <v>26.8</v>
      </c>
      <c r="W19" s="399">
        <v>10</v>
      </c>
      <c r="X19" s="399">
        <v>10.8</v>
      </c>
      <c r="Y19" s="399">
        <v>29.9</v>
      </c>
      <c r="Z19" s="399">
        <v>106.9</v>
      </c>
      <c r="AA19" s="399">
        <v>15</v>
      </c>
      <c r="AC19" s="399">
        <v>5.4</v>
      </c>
      <c r="AD19" s="399">
        <v>5.4</v>
      </c>
      <c r="AE19" s="399">
        <v>5.4</v>
      </c>
      <c r="AF19" s="399">
        <v>4.7</v>
      </c>
      <c r="AG19" s="399">
        <v>5.7</v>
      </c>
      <c r="AH19" s="399">
        <v>3.6</v>
      </c>
      <c r="AI19" s="399">
        <v>44</v>
      </c>
      <c r="AK19" s="361" t="s">
        <v>245</v>
      </c>
      <c r="AL19" s="399">
        <f t="shared" si="8"/>
        <v>21.8</v>
      </c>
      <c r="AM19" s="399">
        <f t="shared" si="8"/>
        <v>53.6</v>
      </c>
      <c r="AN19" s="399">
        <f t="shared" si="8"/>
        <v>20</v>
      </c>
      <c r="AO19" s="399">
        <f t="shared" si="8"/>
        <v>21.6</v>
      </c>
      <c r="AP19" s="399">
        <f t="shared" si="8"/>
        <v>59.8</v>
      </c>
      <c r="AQ19" s="399">
        <f t="shared" si="8"/>
        <v>213.8</v>
      </c>
      <c r="AR19" s="399">
        <f t="shared" si="8"/>
        <v>30</v>
      </c>
      <c r="AS19" s="399">
        <f t="shared" si="8"/>
        <v>0</v>
      </c>
      <c r="AT19" s="399">
        <f t="shared" si="8"/>
        <v>10.8</v>
      </c>
      <c r="AU19" s="399">
        <f t="shared" si="8"/>
        <v>10.8</v>
      </c>
      <c r="AV19" s="399">
        <f t="shared" si="8"/>
        <v>10.8</v>
      </c>
      <c r="AW19" s="399">
        <f t="shared" si="8"/>
        <v>9.4</v>
      </c>
      <c r="AX19" s="399">
        <f t="shared" si="8"/>
        <v>11.4</v>
      </c>
      <c r="AY19" s="399">
        <f t="shared" si="8"/>
        <v>7.2</v>
      </c>
      <c r="AZ19" s="399">
        <f t="shared" si="8"/>
        <v>88</v>
      </c>
      <c r="BB19" s="361" t="s">
        <v>245</v>
      </c>
      <c r="BC19" s="399">
        <f t="shared" si="10"/>
        <v>5.45</v>
      </c>
      <c r="BD19" s="399">
        <f t="shared" si="9"/>
        <v>13.4</v>
      </c>
      <c r="BE19" s="399">
        <f t="shared" si="9"/>
        <v>5</v>
      </c>
      <c r="BF19" s="399">
        <f t="shared" si="9"/>
        <v>5.4</v>
      </c>
      <c r="BG19" s="399">
        <f t="shared" si="9"/>
        <v>14.95</v>
      </c>
      <c r="BH19" s="399">
        <f t="shared" si="9"/>
        <v>53.45</v>
      </c>
      <c r="BI19" s="399">
        <f t="shared" si="9"/>
        <v>7.5</v>
      </c>
      <c r="BJ19" s="399">
        <f t="shared" si="9"/>
        <v>0</v>
      </c>
      <c r="BK19" s="399">
        <f t="shared" si="9"/>
        <v>2.7</v>
      </c>
      <c r="BL19" s="399">
        <f t="shared" si="9"/>
        <v>2.7</v>
      </c>
      <c r="BM19" s="399">
        <f t="shared" si="9"/>
        <v>2.7</v>
      </c>
      <c r="BN19" s="399">
        <f t="shared" si="9"/>
        <v>2.35</v>
      </c>
      <c r="BO19" s="399">
        <f t="shared" si="9"/>
        <v>2.85</v>
      </c>
      <c r="BP19" s="399">
        <f t="shared" si="9"/>
        <v>1.8</v>
      </c>
      <c r="BQ19" s="399">
        <f t="shared" si="9"/>
        <v>22</v>
      </c>
    </row>
    <row r="20" spans="1:71" ht="24.75" customHeight="1" x14ac:dyDescent="0.25">
      <c r="A20" s="351" t="s">
        <v>246</v>
      </c>
      <c r="B20" s="352" t="s">
        <v>228</v>
      </c>
      <c r="C20" s="401" t="s">
        <v>229</v>
      </c>
      <c r="D20" s="382">
        <v>37.1</v>
      </c>
      <c r="E20" s="382">
        <v>55.3</v>
      </c>
      <c r="F20" s="382">
        <v>64.7</v>
      </c>
      <c r="G20" s="382">
        <v>55.6</v>
      </c>
      <c r="H20" s="382">
        <v>1.6</v>
      </c>
      <c r="I20" s="382">
        <v>118</v>
      </c>
      <c r="J20" s="382">
        <v>17.399999999999999</v>
      </c>
      <c r="K20" s="685"/>
      <c r="L20" s="382">
        <v>32.200000000000003</v>
      </c>
      <c r="M20" s="394">
        <v>82.5</v>
      </c>
      <c r="N20" s="382">
        <v>315.39999999999998</v>
      </c>
      <c r="O20" s="382">
        <v>22.8</v>
      </c>
      <c r="P20" s="382">
        <v>46.7</v>
      </c>
      <c r="Q20" s="382">
        <v>77.900000000000006</v>
      </c>
      <c r="R20" s="409">
        <v>409.2</v>
      </c>
      <c r="T20" s="361" t="s">
        <v>246</v>
      </c>
      <c r="U20" s="399">
        <v>148</v>
      </c>
      <c r="V20" s="399">
        <v>159</v>
      </c>
      <c r="W20" s="399">
        <v>288</v>
      </c>
      <c r="X20" s="399">
        <v>628</v>
      </c>
      <c r="Y20" s="399">
        <v>59</v>
      </c>
      <c r="Z20" s="399">
        <v>479</v>
      </c>
      <c r="AA20" s="399">
        <v>581</v>
      </c>
      <c r="AC20" s="399">
        <v>411</v>
      </c>
      <c r="AD20" s="399">
        <v>411</v>
      </c>
      <c r="AE20" s="399">
        <v>411</v>
      </c>
      <c r="AF20" s="399">
        <v>66</v>
      </c>
      <c r="AG20" s="399">
        <v>73</v>
      </c>
      <c r="AH20" s="399">
        <v>320</v>
      </c>
      <c r="AI20" s="399">
        <v>543</v>
      </c>
      <c r="AK20" s="361" t="s">
        <v>246</v>
      </c>
      <c r="AL20" s="399">
        <f t="shared" si="8"/>
        <v>296</v>
      </c>
      <c r="AM20" s="399">
        <f t="shared" si="8"/>
        <v>318</v>
      </c>
      <c r="AN20" s="399">
        <f t="shared" si="8"/>
        <v>576</v>
      </c>
      <c r="AO20" s="399">
        <f t="shared" si="8"/>
        <v>1256</v>
      </c>
      <c r="AP20" s="399">
        <f t="shared" si="8"/>
        <v>118</v>
      </c>
      <c r="AQ20" s="399">
        <f t="shared" si="8"/>
        <v>958</v>
      </c>
      <c r="AR20" s="399">
        <f t="shared" si="8"/>
        <v>1162</v>
      </c>
      <c r="AS20" s="399">
        <f t="shared" si="8"/>
        <v>0</v>
      </c>
      <c r="AT20" s="399">
        <f t="shared" si="8"/>
        <v>822</v>
      </c>
      <c r="AU20" s="399">
        <f t="shared" si="8"/>
        <v>822</v>
      </c>
      <c r="AV20" s="399">
        <f t="shared" si="8"/>
        <v>822</v>
      </c>
      <c r="AW20" s="399">
        <f t="shared" si="8"/>
        <v>132</v>
      </c>
      <c r="AX20" s="399">
        <f t="shared" si="8"/>
        <v>146</v>
      </c>
      <c r="AY20" s="399">
        <f t="shared" si="8"/>
        <v>640</v>
      </c>
      <c r="AZ20" s="399">
        <f t="shared" si="8"/>
        <v>1086</v>
      </c>
      <c r="BB20" s="361" t="s">
        <v>246</v>
      </c>
      <c r="BC20" s="399">
        <f t="shared" si="10"/>
        <v>74</v>
      </c>
      <c r="BD20" s="399">
        <f t="shared" si="9"/>
        <v>79.5</v>
      </c>
      <c r="BE20" s="399">
        <f t="shared" si="9"/>
        <v>144</v>
      </c>
      <c r="BF20" s="399">
        <f t="shared" si="9"/>
        <v>314</v>
      </c>
      <c r="BG20" s="399">
        <f t="shared" si="9"/>
        <v>29.5</v>
      </c>
      <c r="BH20" s="399">
        <f t="shared" si="9"/>
        <v>239.5</v>
      </c>
      <c r="BI20" s="399">
        <f t="shared" si="9"/>
        <v>290.5</v>
      </c>
      <c r="BJ20" s="399">
        <f t="shared" si="9"/>
        <v>0</v>
      </c>
      <c r="BK20" s="399">
        <f t="shared" si="9"/>
        <v>205.5</v>
      </c>
      <c r="BL20" s="399">
        <f t="shared" si="9"/>
        <v>205.5</v>
      </c>
      <c r="BM20" s="399">
        <f t="shared" si="9"/>
        <v>205.5</v>
      </c>
      <c r="BN20" s="399">
        <f t="shared" si="9"/>
        <v>33</v>
      </c>
      <c r="BO20" s="399">
        <f t="shared" si="9"/>
        <v>36.5</v>
      </c>
      <c r="BP20" s="399">
        <f t="shared" si="9"/>
        <v>160</v>
      </c>
      <c r="BQ20" s="399">
        <f t="shared" si="9"/>
        <v>271.5</v>
      </c>
    </row>
    <row r="21" spans="1:71" ht="24.75" customHeight="1" x14ac:dyDescent="0.25">
      <c r="A21" s="351" t="s">
        <v>247</v>
      </c>
      <c r="B21" s="352" t="s">
        <v>248</v>
      </c>
      <c r="C21" s="401" t="s">
        <v>229</v>
      </c>
      <c r="D21" s="383">
        <v>0.1</v>
      </c>
      <c r="E21" s="383">
        <v>0.1</v>
      </c>
      <c r="F21" s="383">
        <v>0.1</v>
      </c>
      <c r="G21" s="383">
        <v>0.1</v>
      </c>
      <c r="H21" s="383">
        <v>0.1</v>
      </c>
      <c r="I21" s="383">
        <v>0.1</v>
      </c>
      <c r="J21" s="383">
        <v>0.1</v>
      </c>
      <c r="K21" s="685"/>
      <c r="L21" s="419">
        <v>0.1</v>
      </c>
      <c r="M21" s="419">
        <v>0.1</v>
      </c>
      <c r="N21" s="419">
        <v>0.1</v>
      </c>
      <c r="O21" s="419">
        <v>0.1</v>
      </c>
      <c r="P21" s="419">
        <v>0.1</v>
      </c>
      <c r="Q21" s="419">
        <v>0.1</v>
      </c>
      <c r="R21" s="420">
        <v>0.1</v>
      </c>
      <c r="T21" s="361" t="s">
        <v>247</v>
      </c>
      <c r="U21" s="399">
        <v>0.53</v>
      </c>
      <c r="W21" s="399">
        <v>0.57399999999999995</v>
      </c>
      <c r="X21" s="399">
        <v>8.9999999999999993E-3</v>
      </c>
      <c r="Z21" s="399">
        <v>2.7E-2</v>
      </c>
      <c r="AF21" s="399">
        <v>2E-3</v>
      </c>
      <c r="AH21" s="399">
        <v>4.8000000000000001E-2</v>
      </c>
      <c r="AI21" s="399">
        <v>3.9E-2</v>
      </c>
      <c r="AK21" s="361" t="s">
        <v>247</v>
      </c>
      <c r="AL21" s="399">
        <f t="shared" si="8"/>
        <v>1.06</v>
      </c>
      <c r="AM21" s="399">
        <v>0</v>
      </c>
      <c r="AN21" s="399">
        <f t="shared" si="8"/>
        <v>1.1479999999999999</v>
      </c>
      <c r="AO21" s="399">
        <f t="shared" si="8"/>
        <v>1.7999999999999999E-2</v>
      </c>
      <c r="AP21" s="399"/>
      <c r="AQ21" s="399">
        <f t="shared" si="8"/>
        <v>5.3999999999999999E-2</v>
      </c>
      <c r="AR21" s="399"/>
      <c r="AS21" s="399"/>
      <c r="AT21" s="399"/>
      <c r="AU21" s="399"/>
      <c r="AV21" s="399"/>
      <c r="AW21" s="399">
        <f t="shared" si="8"/>
        <v>4.0000000000000001E-3</v>
      </c>
      <c r="AX21" s="399">
        <f t="shared" si="8"/>
        <v>0</v>
      </c>
      <c r="AY21" s="399">
        <f t="shared" si="8"/>
        <v>9.6000000000000002E-2</v>
      </c>
      <c r="AZ21" s="399">
        <f t="shared" si="8"/>
        <v>7.8E-2</v>
      </c>
      <c r="BB21" s="361" t="s">
        <v>247</v>
      </c>
      <c r="BC21" s="399">
        <f t="shared" si="10"/>
        <v>0.26500000000000001</v>
      </c>
      <c r="BD21" s="399">
        <v>0</v>
      </c>
      <c r="BE21" s="399">
        <f t="shared" si="9"/>
        <v>0.28699999999999998</v>
      </c>
      <c r="BF21" s="399">
        <f t="shared" si="9"/>
        <v>4.4999999999999997E-3</v>
      </c>
      <c r="BG21" s="399"/>
      <c r="BH21" s="399">
        <f t="shared" si="9"/>
        <v>1.35E-2</v>
      </c>
      <c r="BI21" s="399"/>
      <c r="BJ21" s="399"/>
      <c r="BK21" s="399"/>
      <c r="BL21" s="399"/>
      <c r="BM21" s="399"/>
      <c r="BN21" s="399">
        <f t="shared" si="9"/>
        <v>1E-3</v>
      </c>
      <c r="BO21" s="399"/>
      <c r="BP21" s="399">
        <f t="shared" si="9"/>
        <v>2.4E-2</v>
      </c>
      <c r="BQ21" s="399">
        <f t="shared" si="9"/>
        <v>1.95E-2</v>
      </c>
    </row>
    <row r="22" spans="1:71" ht="24.75" customHeight="1" x14ac:dyDescent="0.25">
      <c r="A22" s="351" t="s">
        <v>249</v>
      </c>
      <c r="B22" s="352" t="s">
        <v>228</v>
      </c>
      <c r="C22" s="401" t="s">
        <v>229</v>
      </c>
      <c r="D22" s="382">
        <v>0.9</v>
      </c>
      <c r="E22" s="382">
        <v>0.8</v>
      </c>
      <c r="F22" s="382">
        <v>0.1</v>
      </c>
      <c r="G22" s="382">
        <v>0.8</v>
      </c>
      <c r="H22" s="394" t="s">
        <v>271</v>
      </c>
      <c r="I22" s="382">
        <v>2.7</v>
      </c>
      <c r="J22" s="382" t="s">
        <v>271</v>
      </c>
      <c r="K22" s="685"/>
      <c r="L22" s="382">
        <v>0.6</v>
      </c>
      <c r="M22" s="394">
        <v>0.5</v>
      </c>
      <c r="N22" s="382">
        <v>0.9</v>
      </c>
      <c r="O22" s="382">
        <v>1</v>
      </c>
      <c r="P22" s="382">
        <v>0.9</v>
      </c>
      <c r="Q22" s="382">
        <v>0.6</v>
      </c>
      <c r="R22" s="409">
        <v>1.4</v>
      </c>
      <c r="T22" s="361" t="s">
        <v>249</v>
      </c>
      <c r="U22" s="399">
        <v>0.14000000000000001</v>
      </c>
      <c r="V22" s="399">
        <v>0.17</v>
      </c>
      <c r="W22" s="399">
        <v>0.11</v>
      </c>
      <c r="X22" s="399">
        <v>0.16</v>
      </c>
      <c r="Y22" s="399">
        <v>18.2</v>
      </c>
      <c r="Z22" s="399">
        <v>4.51</v>
      </c>
      <c r="AA22" s="399">
        <v>3.91</v>
      </c>
      <c r="AC22" s="399">
        <v>0.2</v>
      </c>
      <c r="AD22" s="399">
        <v>0.2</v>
      </c>
      <c r="AE22" s="399">
        <v>0.2</v>
      </c>
      <c r="AF22" s="399">
        <v>0.11</v>
      </c>
      <c r="AG22" s="399">
        <v>0.04</v>
      </c>
      <c r="AH22" s="399">
        <v>0.05</v>
      </c>
      <c r="AI22" s="399">
        <v>1.07</v>
      </c>
      <c r="AK22" s="361" t="s">
        <v>249</v>
      </c>
      <c r="AL22" s="399">
        <f t="shared" si="8"/>
        <v>0.28000000000000003</v>
      </c>
      <c r="AM22" s="399">
        <f t="shared" si="8"/>
        <v>0.34</v>
      </c>
      <c r="AN22" s="399">
        <f t="shared" si="8"/>
        <v>0.22</v>
      </c>
      <c r="AO22" s="399">
        <f t="shared" si="8"/>
        <v>0.32</v>
      </c>
      <c r="AP22" s="399">
        <f t="shared" si="8"/>
        <v>36.4</v>
      </c>
      <c r="AQ22" s="399">
        <f t="shared" si="8"/>
        <v>9.02</v>
      </c>
      <c r="AR22" s="399">
        <f t="shared" si="8"/>
        <v>7.82</v>
      </c>
      <c r="AS22" s="399">
        <f t="shared" si="8"/>
        <v>0</v>
      </c>
      <c r="AT22" s="399">
        <f t="shared" si="8"/>
        <v>0.4</v>
      </c>
      <c r="AU22" s="399">
        <f t="shared" si="8"/>
        <v>0.4</v>
      </c>
      <c r="AV22" s="399">
        <f t="shared" si="8"/>
        <v>0.4</v>
      </c>
      <c r="AW22" s="399">
        <f t="shared" si="8"/>
        <v>0.22</v>
      </c>
      <c r="AX22" s="399">
        <f t="shared" si="8"/>
        <v>0.08</v>
      </c>
      <c r="AY22" s="399">
        <f t="shared" si="8"/>
        <v>0.1</v>
      </c>
      <c r="AZ22" s="399">
        <f t="shared" si="8"/>
        <v>2.14</v>
      </c>
      <c r="BB22" s="361" t="s">
        <v>249</v>
      </c>
      <c r="BC22" s="399">
        <f t="shared" si="10"/>
        <v>7.0000000000000007E-2</v>
      </c>
      <c r="BD22" s="399">
        <f t="shared" si="9"/>
        <v>8.5000000000000006E-2</v>
      </c>
      <c r="BE22" s="399">
        <f t="shared" si="9"/>
        <v>5.5E-2</v>
      </c>
      <c r="BF22" s="399">
        <f t="shared" si="9"/>
        <v>0.08</v>
      </c>
      <c r="BG22" s="399">
        <f t="shared" si="9"/>
        <v>9.1</v>
      </c>
      <c r="BH22" s="399">
        <f t="shared" si="9"/>
        <v>2.2549999999999999</v>
      </c>
      <c r="BI22" s="399">
        <f t="shared" si="9"/>
        <v>1.9550000000000001</v>
      </c>
      <c r="BJ22" s="399">
        <f t="shared" si="9"/>
        <v>0</v>
      </c>
      <c r="BK22" s="399">
        <f t="shared" si="9"/>
        <v>0.1</v>
      </c>
      <c r="BL22" s="399">
        <f t="shared" si="9"/>
        <v>0.1</v>
      </c>
      <c r="BM22" s="399">
        <f t="shared" si="9"/>
        <v>0.1</v>
      </c>
      <c r="BN22" s="399">
        <f t="shared" si="9"/>
        <v>5.5E-2</v>
      </c>
      <c r="BO22" s="399">
        <f t="shared" si="9"/>
        <v>0.02</v>
      </c>
      <c r="BP22" s="399">
        <f t="shared" si="9"/>
        <v>2.5000000000000001E-2</v>
      </c>
      <c r="BQ22" s="399">
        <f t="shared" si="9"/>
        <v>0.53500000000000003</v>
      </c>
    </row>
    <row r="23" spans="1:71" ht="24.75" customHeight="1" x14ac:dyDescent="0.25">
      <c r="A23" s="351" t="s">
        <v>250</v>
      </c>
      <c r="B23" s="352" t="s">
        <v>228</v>
      </c>
      <c r="C23" s="401" t="s">
        <v>229</v>
      </c>
      <c r="D23" s="382" t="s">
        <v>271</v>
      </c>
      <c r="E23" s="394" t="s">
        <v>271</v>
      </c>
      <c r="F23" s="394">
        <v>0.2</v>
      </c>
      <c r="G23" s="394" t="s">
        <v>271</v>
      </c>
      <c r="H23" s="394">
        <v>1.2</v>
      </c>
      <c r="I23" s="394" t="s">
        <v>271</v>
      </c>
      <c r="J23" s="394">
        <v>0.3</v>
      </c>
      <c r="K23" s="685"/>
      <c r="L23" s="394">
        <v>0.2</v>
      </c>
      <c r="M23" s="394">
        <v>1.7</v>
      </c>
      <c r="N23" s="394">
        <v>2</v>
      </c>
      <c r="O23" s="394">
        <v>1.8</v>
      </c>
      <c r="P23" s="382" t="s">
        <v>271</v>
      </c>
      <c r="Q23" s="394">
        <v>1.2</v>
      </c>
      <c r="R23" s="410">
        <v>0.6</v>
      </c>
      <c r="T23" s="361" t="s">
        <v>250</v>
      </c>
      <c r="U23" s="399">
        <v>0.17</v>
      </c>
      <c r="V23" s="399">
        <v>0.1</v>
      </c>
      <c r="W23" s="399">
        <v>0.55000000000000004</v>
      </c>
      <c r="X23" s="399">
        <v>0.08</v>
      </c>
      <c r="Y23" s="399">
        <v>0.69</v>
      </c>
      <c r="Z23" s="399">
        <v>0.25</v>
      </c>
      <c r="AA23" s="399">
        <v>0.12</v>
      </c>
      <c r="AC23" s="399">
        <v>0.04</v>
      </c>
      <c r="AD23" s="399">
        <v>0.04</v>
      </c>
      <c r="AE23" s="399">
        <v>0.04</v>
      </c>
      <c r="AF23" s="399">
        <v>0.06</v>
      </c>
      <c r="AG23" s="399">
        <v>7.0000000000000007E-2</v>
      </c>
      <c r="AH23" s="399">
        <v>0.15</v>
      </c>
      <c r="AI23" s="399">
        <v>0.09</v>
      </c>
      <c r="AK23" s="361" t="s">
        <v>250</v>
      </c>
      <c r="AL23" s="399">
        <f>U23*2</f>
        <v>0.34</v>
      </c>
      <c r="AM23" s="399">
        <f t="shared" si="8"/>
        <v>0.2</v>
      </c>
      <c r="AN23" s="399">
        <f t="shared" si="8"/>
        <v>1.1000000000000001</v>
      </c>
      <c r="AO23" s="399">
        <f t="shared" si="8"/>
        <v>0.16</v>
      </c>
      <c r="AP23" s="399">
        <f t="shared" si="8"/>
        <v>1.38</v>
      </c>
      <c r="AQ23" s="399">
        <f t="shared" si="8"/>
        <v>0.5</v>
      </c>
      <c r="AR23" s="399">
        <f t="shared" si="8"/>
        <v>0.24</v>
      </c>
      <c r="AS23" s="399">
        <f t="shared" si="8"/>
        <v>0</v>
      </c>
      <c r="AT23" s="399">
        <f t="shared" si="8"/>
        <v>0.08</v>
      </c>
      <c r="AU23" s="399">
        <f t="shared" si="8"/>
        <v>0.08</v>
      </c>
      <c r="AV23" s="399">
        <f t="shared" si="8"/>
        <v>0.08</v>
      </c>
      <c r="AW23" s="399">
        <f t="shared" si="8"/>
        <v>0.12</v>
      </c>
      <c r="AX23" s="399">
        <f t="shared" si="8"/>
        <v>0.14000000000000001</v>
      </c>
      <c r="AY23" s="399">
        <f t="shared" si="8"/>
        <v>0.3</v>
      </c>
      <c r="AZ23" s="399">
        <f t="shared" si="8"/>
        <v>0.18</v>
      </c>
      <c r="BB23" s="361" t="s">
        <v>250</v>
      </c>
      <c r="BC23" s="399">
        <f t="shared" si="10"/>
        <v>8.5000000000000006E-2</v>
      </c>
      <c r="BD23" s="399">
        <f t="shared" si="9"/>
        <v>0.05</v>
      </c>
      <c r="BE23" s="399">
        <f t="shared" si="9"/>
        <v>0.27500000000000002</v>
      </c>
      <c r="BF23" s="399">
        <f t="shared" si="9"/>
        <v>0.04</v>
      </c>
      <c r="BG23" s="399">
        <f t="shared" si="9"/>
        <v>0.34499999999999997</v>
      </c>
      <c r="BH23" s="399">
        <f t="shared" si="9"/>
        <v>0.125</v>
      </c>
      <c r="BI23" s="399">
        <f t="shared" si="9"/>
        <v>0.06</v>
      </c>
      <c r="BJ23" s="399">
        <f t="shared" si="9"/>
        <v>0</v>
      </c>
      <c r="BK23" s="399">
        <f t="shared" si="9"/>
        <v>0.02</v>
      </c>
      <c r="BL23" s="399">
        <f t="shared" si="9"/>
        <v>0.02</v>
      </c>
      <c r="BM23" s="399">
        <f t="shared" si="9"/>
        <v>0.02</v>
      </c>
      <c r="BN23" s="399">
        <f t="shared" si="9"/>
        <v>0.03</v>
      </c>
      <c r="BO23" s="399">
        <f t="shared" si="9"/>
        <v>3.5000000000000003E-2</v>
      </c>
      <c r="BP23" s="399">
        <f t="shared" si="9"/>
        <v>7.4999999999999997E-2</v>
      </c>
      <c r="BQ23" s="399">
        <f t="shared" si="9"/>
        <v>4.4999999999999998E-2</v>
      </c>
    </row>
    <row r="24" spans="1:71" ht="30" x14ac:dyDescent="0.25">
      <c r="A24" s="351" t="s">
        <v>252</v>
      </c>
      <c r="B24" s="352" t="s">
        <v>253</v>
      </c>
      <c r="C24" s="401" t="s">
        <v>254</v>
      </c>
      <c r="D24" s="386">
        <v>6142</v>
      </c>
      <c r="E24" s="386">
        <v>5116</v>
      </c>
      <c r="F24" s="386">
        <v>7939</v>
      </c>
      <c r="G24" s="386">
        <v>4310</v>
      </c>
      <c r="H24" s="386">
        <v>94</v>
      </c>
      <c r="I24" s="386">
        <v>342</v>
      </c>
      <c r="J24" s="386">
        <v>9</v>
      </c>
      <c r="K24" s="685"/>
      <c r="L24" s="386">
        <v>5172</v>
      </c>
      <c r="M24" s="386">
        <v>4636</v>
      </c>
      <c r="N24" s="386">
        <v>4539</v>
      </c>
      <c r="O24" s="386">
        <v>3299</v>
      </c>
      <c r="P24" s="386">
        <v>4213</v>
      </c>
      <c r="Q24" s="386">
        <v>5006</v>
      </c>
      <c r="R24" s="414">
        <v>2615</v>
      </c>
      <c r="T24" s="361" t="s">
        <v>252</v>
      </c>
      <c r="U24" s="421">
        <v>5906</v>
      </c>
      <c r="V24" s="417">
        <v>5599</v>
      </c>
      <c r="W24" s="417">
        <v>8972</v>
      </c>
      <c r="X24" s="417">
        <v>4766</v>
      </c>
      <c r="Y24" s="417">
        <v>193</v>
      </c>
      <c r="Z24" s="417">
        <v>2662</v>
      </c>
      <c r="AA24" s="417">
        <v>445</v>
      </c>
      <c r="AB24" s="417"/>
      <c r="AC24" s="417">
        <v>4572</v>
      </c>
      <c r="AD24" s="417">
        <v>4572</v>
      </c>
      <c r="AE24" s="417">
        <v>4572</v>
      </c>
      <c r="AF24" s="417">
        <v>3542</v>
      </c>
      <c r="AG24" s="417">
        <v>3997</v>
      </c>
      <c r="AH24" s="417">
        <v>5013</v>
      </c>
      <c r="AI24" s="421">
        <v>2541</v>
      </c>
      <c r="AK24" s="361" t="s">
        <v>252</v>
      </c>
      <c r="AL24" s="415">
        <f>U24+300</f>
        <v>6206</v>
      </c>
      <c r="AM24" s="415">
        <f>V24+300</f>
        <v>5899</v>
      </c>
      <c r="AN24" s="415">
        <f>W24+300</f>
        <v>9272</v>
      </c>
      <c r="AO24" s="415">
        <f t="shared" ref="AO24:AY24" si="11">X24+300</f>
        <v>5066</v>
      </c>
      <c r="AP24" s="415">
        <f t="shared" si="11"/>
        <v>493</v>
      </c>
      <c r="AQ24" s="415">
        <f t="shared" si="11"/>
        <v>2962</v>
      </c>
      <c r="AR24" s="415">
        <f t="shared" si="11"/>
        <v>745</v>
      </c>
      <c r="AS24" s="415">
        <f t="shared" si="11"/>
        <v>300</v>
      </c>
      <c r="AT24" s="415">
        <f t="shared" si="11"/>
        <v>4872</v>
      </c>
      <c r="AU24" s="415">
        <f t="shared" si="11"/>
        <v>4872</v>
      </c>
      <c r="AV24" s="415">
        <f t="shared" si="11"/>
        <v>4872</v>
      </c>
      <c r="AW24" s="415">
        <f t="shared" si="11"/>
        <v>3842</v>
      </c>
      <c r="AX24" s="415">
        <f t="shared" si="11"/>
        <v>4297</v>
      </c>
      <c r="AY24" s="415">
        <f t="shared" si="11"/>
        <v>5313</v>
      </c>
      <c r="AZ24" s="415">
        <f>AI24+300</f>
        <v>2841</v>
      </c>
      <c r="BB24" s="361" t="s">
        <v>252</v>
      </c>
      <c r="BC24" s="421">
        <f>U24-300</f>
        <v>5606</v>
      </c>
      <c r="BD24" s="421">
        <f t="shared" ref="BD24:BQ24" si="12">V24-300</f>
        <v>5299</v>
      </c>
      <c r="BE24" s="421">
        <f t="shared" si="12"/>
        <v>8672</v>
      </c>
      <c r="BF24" s="421">
        <f t="shared" si="12"/>
        <v>4466</v>
      </c>
      <c r="BG24" s="421">
        <f t="shared" si="12"/>
        <v>-107</v>
      </c>
      <c r="BH24" s="421">
        <f t="shared" si="12"/>
        <v>2362</v>
      </c>
      <c r="BI24" s="421">
        <f t="shared" si="12"/>
        <v>145</v>
      </c>
      <c r="BJ24" s="421">
        <f t="shared" si="12"/>
        <v>-300</v>
      </c>
      <c r="BK24" s="421">
        <f t="shared" si="12"/>
        <v>4272</v>
      </c>
      <c r="BL24" s="421">
        <f t="shared" si="12"/>
        <v>4272</v>
      </c>
      <c r="BM24" s="421">
        <f t="shared" si="12"/>
        <v>4272</v>
      </c>
      <c r="BN24" s="421">
        <f t="shared" si="12"/>
        <v>3242</v>
      </c>
      <c r="BO24" s="421">
        <f t="shared" si="12"/>
        <v>3697</v>
      </c>
      <c r="BP24" s="421">
        <f t="shared" si="12"/>
        <v>4713</v>
      </c>
      <c r="BQ24" s="421">
        <f t="shared" si="12"/>
        <v>2241</v>
      </c>
    </row>
    <row r="25" spans="1:71" ht="30" x14ac:dyDescent="0.25">
      <c r="A25" s="351" t="s">
        <v>255</v>
      </c>
      <c r="B25" s="352" t="s">
        <v>226</v>
      </c>
      <c r="C25" s="401" t="s">
        <v>224</v>
      </c>
      <c r="D25" s="382">
        <v>50.7</v>
      </c>
      <c r="E25" s="382">
        <v>53</v>
      </c>
      <c r="F25" s="382">
        <v>68</v>
      </c>
      <c r="G25" s="382">
        <v>46.1</v>
      </c>
      <c r="H25" s="382">
        <v>0.4</v>
      </c>
      <c r="I25" s="382">
        <v>3.6</v>
      </c>
      <c r="J25" s="382">
        <v>0.3</v>
      </c>
      <c r="K25" s="685"/>
      <c r="L25" s="382">
        <v>51.4</v>
      </c>
      <c r="M25" s="394">
        <v>48.1</v>
      </c>
      <c r="N25" s="382">
        <v>47.1</v>
      </c>
      <c r="O25" s="382">
        <v>39.700000000000003</v>
      </c>
      <c r="P25" s="382">
        <v>43.7</v>
      </c>
      <c r="Q25" s="382">
        <v>50.9</v>
      </c>
      <c r="R25" s="409">
        <v>27.7</v>
      </c>
      <c r="T25" s="361" t="s">
        <v>304</v>
      </c>
      <c r="U25" s="417"/>
      <c r="V25" s="417"/>
      <c r="W25" s="417"/>
      <c r="X25" s="417"/>
      <c r="Y25" s="417"/>
      <c r="Z25" s="417"/>
      <c r="AA25" s="417"/>
      <c r="AB25" s="417"/>
      <c r="AC25" s="417"/>
      <c r="AD25" s="417"/>
      <c r="AE25" s="417"/>
      <c r="AF25" s="417"/>
      <c r="AG25" s="417"/>
      <c r="AH25" s="417"/>
      <c r="AI25" s="421"/>
      <c r="AK25" s="361" t="s">
        <v>304</v>
      </c>
      <c r="AL25" s="399"/>
      <c r="AM25" s="415"/>
      <c r="AN25" s="415"/>
      <c r="AO25" s="399"/>
      <c r="AP25" s="399"/>
      <c r="AQ25" s="399"/>
      <c r="AR25" s="399"/>
      <c r="AS25" s="399"/>
      <c r="AT25" s="399"/>
      <c r="AU25" s="399"/>
      <c r="AV25" s="399"/>
      <c r="AW25" s="399"/>
      <c r="AX25" s="399"/>
      <c r="AY25" s="399"/>
      <c r="AZ25" s="399"/>
      <c r="BB25" s="361" t="s">
        <v>304</v>
      </c>
      <c r="BC25" s="399"/>
      <c r="BD25" s="399"/>
      <c r="BE25" s="399"/>
      <c r="BF25" s="399"/>
      <c r="BG25" s="399"/>
      <c r="BH25" s="399"/>
      <c r="BI25" s="399"/>
      <c r="BJ25" s="399"/>
      <c r="BK25" s="399"/>
      <c r="BL25" s="399"/>
      <c r="BM25" s="399"/>
      <c r="BN25" s="399"/>
      <c r="BO25" s="399"/>
      <c r="BP25" s="399"/>
      <c r="BQ25" s="399"/>
    </row>
    <row r="26" spans="1:71" ht="30" x14ac:dyDescent="0.25">
      <c r="A26" s="351" t="s">
        <v>256</v>
      </c>
      <c r="B26" s="352" t="s">
        <v>226</v>
      </c>
      <c r="C26" s="401" t="s">
        <v>224</v>
      </c>
      <c r="D26" s="382">
        <v>7.03</v>
      </c>
      <c r="E26" s="382">
        <v>5.81</v>
      </c>
      <c r="F26" s="382">
        <v>10.220000000000001</v>
      </c>
      <c r="G26" s="382">
        <v>5.68</v>
      </c>
      <c r="H26" s="419">
        <v>0.09</v>
      </c>
      <c r="I26" s="382">
        <v>0.52</v>
      </c>
      <c r="J26" s="382">
        <v>0.11</v>
      </c>
      <c r="K26" s="685"/>
      <c r="L26" s="382">
        <v>7.28</v>
      </c>
      <c r="M26" s="394">
        <v>5.88</v>
      </c>
      <c r="N26" s="382">
        <v>5.83</v>
      </c>
      <c r="O26" s="382">
        <v>5.0199999999999996</v>
      </c>
      <c r="P26" s="382">
        <v>5.61</v>
      </c>
      <c r="Q26" s="382">
        <v>6.97</v>
      </c>
      <c r="R26" s="409">
        <v>3.69</v>
      </c>
      <c r="T26" s="361" t="s">
        <v>305</v>
      </c>
      <c r="U26" s="417">
        <v>7.4</v>
      </c>
      <c r="V26" s="417">
        <v>6.1</v>
      </c>
      <c r="W26" s="417">
        <v>10.1</v>
      </c>
      <c r="X26" s="417">
        <v>5.9</v>
      </c>
      <c r="Y26" s="417">
        <v>0.4</v>
      </c>
      <c r="Z26" s="417">
        <v>2</v>
      </c>
      <c r="AA26" s="417">
        <v>1</v>
      </c>
      <c r="AB26" s="417"/>
      <c r="AC26" s="417">
        <v>6.3</v>
      </c>
      <c r="AD26" s="417">
        <v>6.3</v>
      </c>
      <c r="AE26" s="417">
        <v>6.3</v>
      </c>
      <c r="AF26" s="417">
        <v>5</v>
      </c>
      <c r="AG26" s="417">
        <v>5.4</v>
      </c>
      <c r="AH26" s="417">
        <v>6.7</v>
      </c>
      <c r="AI26" s="421">
        <v>3.7</v>
      </c>
      <c r="AK26" s="361" t="s">
        <v>305</v>
      </c>
      <c r="AL26" s="399">
        <f t="shared" ref="AL26:AZ26" si="13">U26+((20/100)*U26)</f>
        <v>8.8800000000000008</v>
      </c>
      <c r="AM26" s="399">
        <f t="shared" si="13"/>
        <v>7.3199999999999994</v>
      </c>
      <c r="AN26" s="399">
        <f t="shared" si="13"/>
        <v>12.12</v>
      </c>
      <c r="AO26" s="399">
        <f t="shared" si="13"/>
        <v>7.08</v>
      </c>
      <c r="AP26" s="399">
        <f t="shared" si="13"/>
        <v>0.48000000000000004</v>
      </c>
      <c r="AQ26" s="399">
        <f t="shared" si="13"/>
        <v>2.4</v>
      </c>
      <c r="AR26" s="399">
        <f t="shared" si="13"/>
        <v>1.2</v>
      </c>
      <c r="AS26" s="399">
        <f t="shared" si="13"/>
        <v>0</v>
      </c>
      <c r="AT26" s="399">
        <f t="shared" si="13"/>
        <v>7.56</v>
      </c>
      <c r="AU26" s="399">
        <f t="shared" si="13"/>
        <v>7.56</v>
      </c>
      <c r="AV26" s="399">
        <f t="shared" si="13"/>
        <v>7.56</v>
      </c>
      <c r="AW26" s="399">
        <f t="shared" si="13"/>
        <v>6</v>
      </c>
      <c r="AX26" s="399">
        <f t="shared" si="13"/>
        <v>6.48</v>
      </c>
      <c r="AY26" s="399">
        <f t="shared" si="13"/>
        <v>8.0400000000000009</v>
      </c>
      <c r="AZ26" s="399">
        <f t="shared" si="13"/>
        <v>4.4400000000000004</v>
      </c>
      <c r="BB26" s="361" t="s">
        <v>305</v>
      </c>
      <c r="BC26" s="404">
        <f t="shared" ref="BC26:BQ26" si="14">U26-((20/100)*U26)</f>
        <v>5.92</v>
      </c>
      <c r="BD26" s="404">
        <f t="shared" si="14"/>
        <v>4.88</v>
      </c>
      <c r="BE26" s="404">
        <f t="shared" si="14"/>
        <v>8.08</v>
      </c>
      <c r="BF26" s="404">
        <f t="shared" si="14"/>
        <v>4.7200000000000006</v>
      </c>
      <c r="BG26" s="404">
        <f t="shared" si="14"/>
        <v>0.32</v>
      </c>
      <c r="BH26" s="404">
        <f t="shared" si="14"/>
        <v>1.6</v>
      </c>
      <c r="BI26" s="404">
        <f t="shared" si="14"/>
        <v>0.8</v>
      </c>
      <c r="BJ26" s="404">
        <f t="shared" si="14"/>
        <v>0</v>
      </c>
      <c r="BK26" s="404">
        <f t="shared" si="14"/>
        <v>5.04</v>
      </c>
      <c r="BL26" s="404">
        <f t="shared" si="14"/>
        <v>5.04</v>
      </c>
      <c r="BM26" s="404">
        <f t="shared" si="14"/>
        <v>5.04</v>
      </c>
      <c r="BN26" s="404">
        <f t="shared" si="14"/>
        <v>4</v>
      </c>
      <c r="BO26" s="404">
        <f t="shared" si="14"/>
        <v>4.32</v>
      </c>
      <c r="BP26" s="404">
        <f t="shared" si="14"/>
        <v>5.36</v>
      </c>
      <c r="BQ26" s="404">
        <f t="shared" si="14"/>
        <v>2.96</v>
      </c>
    </row>
    <row r="27" spans="1:71" ht="24.75" customHeight="1" x14ac:dyDescent="0.25">
      <c r="A27" s="351" t="s">
        <v>274</v>
      </c>
      <c r="B27" s="422" t="s">
        <v>253</v>
      </c>
      <c r="C27" s="401" t="s">
        <v>254</v>
      </c>
      <c r="D27" s="386">
        <v>5796</v>
      </c>
      <c r="E27" s="386">
        <v>4830</v>
      </c>
      <c r="F27" s="386">
        <v>7436</v>
      </c>
      <c r="G27" s="386">
        <v>4031</v>
      </c>
      <c r="H27" s="386">
        <v>90</v>
      </c>
      <c r="I27" s="386">
        <v>316</v>
      </c>
      <c r="J27" s="386">
        <v>4</v>
      </c>
      <c r="K27" s="686"/>
      <c r="L27" s="386">
        <v>4814</v>
      </c>
      <c r="M27" s="386">
        <v>4347</v>
      </c>
      <c r="N27" s="386">
        <v>4252</v>
      </c>
      <c r="O27" s="386">
        <v>3299</v>
      </c>
      <c r="P27" s="386">
        <v>3937</v>
      </c>
      <c r="Q27" s="386">
        <v>4663</v>
      </c>
      <c r="R27" s="414">
        <v>2433</v>
      </c>
      <c r="T27" s="361" t="s">
        <v>274</v>
      </c>
      <c r="U27" s="417">
        <v>5545</v>
      </c>
      <c r="V27" s="417">
        <v>5289</v>
      </c>
      <c r="W27" s="417">
        <v>8477</v>
      </c>
      <c r="X27" s="417">
        <v>4478</v>
      </c>
      <c r="Y27" s="417">
        <v>171</v>
      </c>
      <c r="Z27" s="417">
        <v>2562</v>
      </c>
      <c r="AA27" s="417">
        <v>395</v>
      </c>
      <c r="AB27" s="417"/>
      <c r="AC27" s="417">
        <v>4276</v>
      </c>
      <c r="AD27" s="417">
        <v>4276</v>
      </c>
      <c r="AE27" s="417">
        <v>4276</v>
      </c>
      <c r="AF27" s="417">
        <v>3294</v>
      </c>
      <c r="AG27" s="417">
        <v>3729</v>
      </c>
      <c r="AH27" s="417">
        <v>4645</v>
      </c>
      <c r="AI27" s="421">
        <v>2360</v>
      </c>
      <c r="AK27" s="361" t="s">
        <v>274</v>
      </c>
      <c r="AL27" s="415">
        <f>U27+300</f>
        <v>5845</v>
      </c>
      <c r="AM27" s="415">
        <f t="shared" ref="AM27:AZ27" si="15">V27+300</f>
        <v>5589</v>
      </c>
      <c r="AN27" s="415">
        <f t="shared" si="15"/>
        <v>8777</v>
      </c>
      <c r="AO27" s="415">
        <f t="shared" si="15"/>
        <v>4778</v>
      </c>
      <c r="AP27" s="415">
        <f t="shared" si="15"/>
        <v>471</v>
      </c>
      <c r="AQ27" s="415">
        <f t="shared" si="15"/>
        <v>2862</v>
      </c>
      <c r="AR27" s="415">
        <f t="shared" si="15"/>
        <v>695</v>
      </c>
      <c r="AS27" s="415">
        <f t="shared" si="15"/>
        <v>300</v>
      </c>
      <c r="AT27" s="415">
        <f t="shared" si="15"/>
        <v>4576</v>
      </c>
      <c r="AU27" s="415">
        <f t="shared" si="15"/>
        <v>4576</v>
      </c>
      <c r="AV27" s="415">
        <f t="shared" si="15"/>
        <v>4576</v>
      </c>
      <c r="AW27" s="415">
        <f t="shared" si="15"/>
        <v>3594</v>
      </c>
      <c r="AX27" s="415">
        <f t="shared" si="15"/>
        <v>4029</v>
      </c>
      <c r="AY27" s="415">
        <f t="shared" si="15"/>
        <v>4945</v>
      </c>
      <c r="AZ27" s="415">
        <f t="shared" si="15"/>
        <v>2660</v>
      </c>
      <c r="BB27" s="361" t="s">
        <v>274</v>
      </c>
      <c r="BC27" s="421">
        <f t="shared" ref="BC27:BQ27" si="16">U27-300</f>
        <v>5245</v>
      </c>
      <c r="BD27" s="421">
        <f t="shared" si="16"/>
        <v>4989</v>
      </c>
      <c r="BE27" s="421">
        <f t="shared" si="16"/>
        <v>8177</v>
      </c>
      <c r="BF27" s="421">
        <f t="shared" si="16"/>
        <v>4178</v>
      </c>
      <c r="BG27" s="421">
        <f t="shared" si="16"/>
        <v>-129</v>
      </c>
      <c r="BH27" s="421">
        <f t="shared" si="16"/>
        <v>2262</v>
      </c>
      <c r="BI27" s="421">
        <f t="shared" si="16"/>
        <v>95</v>
      </c>
      <c r="BJ27" s="421">
        <f t="shared" si="16"/>
        <v>-300</v>
      </c>
      <c r="BK27" s="421">
        <f t="shared" si="16"/>
        <v>3976</v>
      </c>
      <c r="BL27" s="421">
        <f t="shared" si="16"/>
        <v>3976</v>
      </c>
      <c r="BM27" s="421">
        <f t="shared" si="16"/>
        <v>3976</v>
      </c>
      <c r="BN27" s="421">
        <f t="shared" si="16"/>
        <v>2994</v>
      </c>
      <c r="BO27" s="421">
        <f t="shared" si="16"/>
        <v>3429</v>
      </c>
      <c r="BP27" s="421">
        <f t="shared" si="16"/>
        <v>4345</v>
      </c>
      <c r="BQ27" s="421">
        <f t="shared" si="16"/>
        <v>2060</v>
      </c>
    </row>
    <row r="28" spans="1:71" s="340" customFormat="1" x14ac:dyDescent="0.25">
      <c r="A28" s="423"/>
      <c r="B28" s="423"/>
      <c r="C28" s="423"/>
      <c r="D28" s="424">
        <f>D24-49.2*D26</f>
        <v>5796.1239999999998</v>
      </c>
      <c r="E28" s="424">
        <f t="shared" ref="E28:R28" si="17">E24-49.2*E26</f>
        <v>4830.1480000000001</v>
      </c>
      <c r="F28" s="424">
        <f t="shared" si="17"/>
        <v>7436.1759999999995</v>
      </c>
      <c r="G28" s="424">
        <f t="shared" si="17"/>
        <v>4030.5439999999999</v>
      </c>
      <c r="H28" s="424">
        <f t="shared" si="17"/>
        <v>89.572000000000003</v>
      </c>
      <c r="I28" s="424">
        <f t="shared" si="17"/>
        <v>316.416</v>
      </c>
      <c r="J28" s="424">
        <f t="shared" si="17"/>
        <v>3.5880000000000001</v>
      </c>
      <c r="K28" s="424">
        <f t="shared" si="17"/>
        <v>0</v>
      </c>
      <c r="L28" s="424">
        <f t="shared" si="17"/>
        <v>4813.8239999999996</v>
      </c>
      <c r="M28" s="424">
        <f t="shared" si="17"/>
        <v>4346.7039999999997</v>
      </c>
      <c r="N28" s="424">
        <f t="shared" si="17"/>
        <v>4252.1639999999998</v>
      </c>
      <c r="O28" s="424">
        <f t="shared" si="17"/>
        <v>3052.0160000000001</v>
      </c>
      <c r="P28" s="424">
        <f t="shared" si="17"/>
        <v>3936.9879999999998</v>
      </c>
      <c r="Q28" s="424">
        <f t="shared" si="17"/>
        <v>4663.076</v>
      </c>
      <c r="R28" s="424">
        <f t="shared" si="17"/>
        <v>2433.4520000000002</v>
      </c>
      <c r="S28" s="360"/>
      <c r="T28" s="399"/>
      <c r="U28" s="399"/>
      <c r="V28" s="399"/>
      <c r="W28" s="399"/>
      <c r="X28" s="399"/>
      <c r="Y28" s="399"/>
      <c r="Z28" s="399"/>
      <c r="AA28" s="399"/>
      <c r="AB28" s="399"/>
      <c r="AC28" s="399"/>
      <c r="AD28" s="399"/>
      <c r="AE28" s="399"/>
      <c r="AF28" s="399"/>
      <c r="AG28" s="399"/>
      <c r="AH28" s="399"/>
      <c r="AI28" s="399"/>
      <c r="AJ28" s="360"/>
      <c r="AK28" s="360"/>
      <c r="AL28" s="360"/>
      <c r="AM28" s="360"/>
      <c r="AN28" s="360"/>
      <c r="AO28" s="360"/>
      <c r="AP28" s="360"/>
      <c r="AQ28" s="360"/>
      <c r="AR28" s="360"/>
      <c r="AS28" s="360"/>
      <c r="AT28" s="360"/>
      <c r="AU28" s="360"/>
      <c r="AV28" s="360"/>
      <c r="AW28" s="360"/>
      <c r="AX28" s="360"/>
      <c r="AY28" s="360"/>
      <c r="AZ28" s="360"/>
      <c r="BA28" s="360"/>
      <c r="BB28" s="360"/>
      <c r="BC28" s="360"/>
      <c r="BD28" s="360"/>
      <c r="BE28" s="360"/>
      <c r="BF28" s="360"/>
      <c r="BG28" s="360"/>
      <c r="BH28" s="360"/>
      <c r="BI28" s="360"/>
      <c r="BJ28" s="360"/>
      <c r="BK28" s="360"/>
      <c r="BL28" s="360"/>
      <c r="BM28" s="360"/>
      <c r="BN28" s="360"/>
      <c r="BO28" s="360"/>
      <c r="BP28" s="360"/>
      <c r="BQ28" s="360"/>
      <c r="BR28" s="360"/>
      <c r="BS28" s="360"/>
    </row>
    <row r="29" spans="1:71" x14ac:dyDescent="0.25">
      <c r="E29" s="425"/>
    </row>
    <row r="30" spans="1:71" x14ac:dyDescent="0.25">
      <c r="D30" s="683" t="s">
        <v>306</v>
      </c>
      <c r="E30" s="683"/>
    </row>
  </sheetData>
  <mergeCells count="15">
    <mergeCell ref="B12:B14"/>
    <mergeCell ref="D1:G1"/>
    <mergeCell ref="H1:K1"/>
    <mergeCell ref="L1:O1"/>
    <mergeCell ref="P1:R1"/>
    <mergeCell ref="D2:G2"/>
    <mergeCell ref="H2:K2"/>
    <mergeCell ref="L2:O2"/>
    <mergeCell ref="P2:R2"/>
    <mergeCell ref="D30:E30"/>
    <mergeCell ref="D3:G3"/>
    <mergeCell ref="H3:K3"/>
    <mergeCell ref="L3:O3"/>
    <mergeCell ref="P3:R3"/>
    <mergeCell ref="K5:K27"/>
  </mergeCells>
  <conditionalFormatting sqref="L10:P10 R10 D10:J11 L11:R11">
    <cfRule type="cellIs" dxfId="91" priority="51" operator="lessThan">
      <formula>BC10</formula>
    </cfRule>
    <cfRule type="cellIs" dxfId="90" priority="52" operator="greaterThan">
      <formula>AL10</formula>
    </cfRule>
  </conditionalFormatting>
  <conditionalFormatting sqref="D9:J9 L9:P9 R9">
    <cfRule type="cellIs" dxfId="89" priority="49" operator="lessThan">
      <formula>BC9</formula>
    </cfRule>
    <cfRule type="cellIs" dxfId="88" priority="50" operator="greaterThan">
      <formula>AL9</formula>
    </cfRule>
  </conditionalFormatting>
  <conditionalFormatting sqref="D12:J13 L12:P13 F14 I14 M14:O14 R12:R14">
    <cfRule type="cellIs" dxfId="87" priority="47" operator="lessThan">
      <formula>BC12</formula>
    </cfRule>
    <cfRule type="cellIs" dxfId="86" priority="48" operator="greaterThan">
      <formula>AL12</formula>
    </cfRule>
  </conditionalFormatting>
  <conditionalFormatting sqref="D16:J16 L16:P16 L18:P23 M17:N17 D18:J23 D17:I17 P17 R16:R23">
    <cfRule type="cellIs" dxfId="85" priority="45" operator="lessThan">
      <formula>BC16</formula>
    </cfRule>
    <cfRule type="cellIs" dxfId="84" priority="46" operator="greaterThan">
      <formula>AL16</formula>
    </cfRule>
  </conditionalFormatting>
  <conditionalFormatting sqref="D26:J26 L26:P26 R26">
    <cfRule type="cellIs" dxfId="83" priority="43" operator="lessThan">
      <formula>BC26</formula>
    </cfRule>
    <cfRule type="cellIs" dxfId="82" priority="44" operator="greaterThan">
      <formula>AL26</formula>
    </cfRule>
  </conditionalFormatting>
  <conditionalFormatting sqref="D24:J24 L24:P24 R24">
    <cfRule type="cellIs" dxfId="81" priority="41" operator="lessThan">
      <formula>BC24</formula>
    </cfRule>
    <cfRule type="cellIs" dxfId="80" priority="42" operator="greaterThan">
      <formula>AL24</formula>
    </cfRule>
  </conditionalFormatting>
  <conditionalFormatting sqref="J17 L17">
    <cfRule type="cellIs" dxfId="79" priority="39" operator="lessThan">
      <formula>BI17</formula>
    </cfRule>
    <cfRule type="cellIs" dxfId="78" priority="40" operator="greaterThan">
      <formula>AR17</formula>
    </cfRule>
  </conditionalFormatting>
  <conditionalFormatting sqref="O17">
    <cfRule type="cellIs" dxfId="77" priority="37" operator="lessThan">
      <formula>BN17</formula>
    </cfRule>
    <cfRule type="cellIs" dxfId="76" priority="38" operator="greaterThan">
      <formula>AW17</formula>
    </cfRule>
  </conditionalFormatting>
  <conditionalFormatting sqref="D14:E14">
    <cfRule type="cellIs" dxfId="75" priority="35" operator="lessThan">
      <formula>BC14</formula>
    </cfRule>
    <cfRule type="cellIs" dxfId="74" priority="36" operator="greaterThan">
      <formula>AL14</formula>
    </cfRule>
  </conditionalFormatting>
  <conditionalFormatting sqref="G14:H14">
    <cfRule type="cellIs" dxfId="73" priority="33" operator="lessThan">
      <formula>BF14</formula>
    </cfRule>
    <cfRule type="cellIs" dxfId="72" priority="34" operator="greaterThan">
      <formula>AO14</formula>
    </cfRule>
  </conditionalFormatting>
  <conditionalFormatting sqref="J14">
    <cfRule type="cellIs" dxfId="71" priority="31" operator="lessThan">
      <formula>BI14</formula>
    </cfRule>
    <cfRule type="cellIs" dxfId="70" priority="32" operator="greaterThan">
      <formula>AR14</formula>
    </cfRule>
  </conditionalFormatting>
  <conditionalFormatting sqref="L14">
    <cfRule type="cellIs" dxfId="69" priority="29" operator="lessThan">
      <formula>BK14</formula>
    </cfRule>
    <cfRule type="cellIs" dxfId="68" priority="30" operator="greaterThan">
      <formula>AT14</formula>
    </cfRule>
  </conditionalFormatting>
  <conditionalFormatting sqref="P14">
    <cfRule type="cellIs" dxfId="67" priority="27" operator="lessThan">
      <formula>BO14</formula>
    </cfRule>
    <cfRule type="cellIs" dxfId="66" priority="28" operator="greaterThan">
      <formula>AX14</formula>
    </cfRule>
  </conditionalFormatting>
  <conditionalFormatting sqref="D5:J5">
    <cfRule type="cellIs" dxfId="65" priority="25" operator="lessThan">
      <formula>BC5</formula>
    </cfRule>
    <cfRule type="cellIs" dxfId="64" priority="26" operator="greaterThan">
      <formula>AL5</formula>
    </cfRule>
  </conditionalFormatting>
  <conditionalFormatting sqref="L5:P5 R5">
    <cfRule type="cellIs" dxfId="63" priority="23" operator="lessThan">
      <formula>BK5</formula>
    </cfRule>
    <cfRule type="cellIs" dxfId="62" priority="24" operator="greaterThan">
      <formula>AT5</formula>
    </cfRule>
  </conditionalFormatting>
  <conditionalFormatting sqref="D27:J27 R27 L27:P27">
    <cfRule type="cellIs" dxfId="61" priority="21" operator="lessThan">
      <formula>BC27</formula>
    </cfRule>
    <cfRule type="cellIs" dxfId="60" priority="22" operator="greaterThan">
      <formula>AL27</formula>
    </cfRule>
  </conditionalFormatting>
  <conditionalFormatting sqref="Q10">
    <cfRule type="cellIs" dxfId="59" priority="19" operator="lessThan">
      <formula>BP10</formula>
    </cfRule>
    <cfRule type="cellIs" dxfId="58" priority="20" operator="greaterThan">
      <formula>AY10</formula>
    </cfRule>
  </conditionalFormatting>
  <conditionalFormatting sqref="Q9">
    <cfRule type="cellIs" dxfId="57" priority="17" operator="lessThan">
      <formula>BP9</formula>
    </cfRule>
    <cfRule type="cellIs" dxfId="56" priority="18" operator="greaterThan">
      <formula>AY9</formula>
    </cfRule>
  </conditionalFormatting>
  <conditionalFormatting sqref="Q5">
    <cfRule type="cellIs" dxfId="55" priority="15" operator="lessThan">
      <formula>BP5</formula>
    </cfRule>
    <cfRule type="cellIs" dxfId="54" priority="16" operator="greaterThan">
      <formula>AY5</formula>
    </cfRule>
  </conditionalFormatting>
  <conditionalFormatting sqref="Q12:Q13">
    <cfRule type="cellIs" dxfId="53" priority="13" operator="lessThan">
      <formula>BP12</formula>
    </cfRule>
    <cfRule type="cellIs" dxfId="52" priority="14" operator="greaterThan">
      <formula>AY12</formula>
    </cfRule>
  </conditionalFormatting>
  <conditionalFormatting sqref="Q16:Q23">
    <cfRule type="cellIs" dxfId="51" priority="11" operator="lessThan">
      <formula>BP16</formula>
    </cfRule>
    <cfRule type="cellIs" dxfId="50" priority="12" operator="greaterThan">
      <formula>AY16</formula>
    </cfRule>
  </conditionalFormatting>
  <conditionalFormatting sqref="Q26">
    <cfRule type="cellIs" dxfId="49" priority="9" operator="lessThan">
      <formula>BP26</formula>
    </cfRule>
    <cfRule type="cellIs" dxfId="48" priority="10" operator="greaterThan">
      <formula>AY26</formula>
    </cfRule>
  </conditionalFormatting>
  <conditionalFormatting sqref="Q24">
    <cfRule type="cellIs" dxfId="47" priority="7" operator="lessThan">
      <formula>BP24</formula>
    </cfRule>
    <cfRule type="cellIs" dxfId="46" priority="8" operator="greaterThan">
      <formula>AY24</formula>
    </cfRule>
  </conditionalFormatting>
  <conditionalFormatting sqref="Q14">
    <cfRule type="cellIs" dxfId="45" priority="5" operator="lessThan">
      <formula>BP14</formula>
    </cfRule>
    <cfRule type="cellIs" dxfId="44" priority="6" operator="greaterThan">
      <formula>AY14</formula>
    </cfRule>
  </conditionalFormatting>
  <conditionalFormatting sqref="Q27">
    <cfRule type="cellIs" dxfId="43" priority="3" operator="lessThan">
      <formula>BP27</formula>
    </cfRule>
    <cfRule type="cellIs" dxfId="42" priority="4" operator="greaterThan">
      <formula>AY27</formula>
    </cfRule>
  </conditionalFormatting>
  <conditionalFormatting sqref="K5">
    <cfRule type="cellIs" dxfId="41" priority="1" operator="lessThan">
      <formula>BJ11</formula>
    </cfRule>
    <cfRule type="cellIs" dxfId="40" priority="2" operator="greaterThan">
      <formula>AS11</formula>
    </cfRule>
  </conditionalFormatting>
  <pageMargins left="0.70866141732283472" right="0.70866141732283472" top="0.74803149606299213" bottom="0.74803149606299213" header="0.31496062992125984" footer="0.31496062992125984"/>
  <pageSetup paperSize="9" scale="85" fitToWidth="0" orientation="portrait" horizontalDpi="4294967294" r:id="rId1"/>
  <headerFooter alignWithMargins="0">
    <oddFooter>&amp;L&amp;"Rockwell,Gras"&amp;P/&amp;N&amp;C&amp;"Rockwell,Gras"&amp;D&amp;R&amp;"Rockwell,Gras"&amp;F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  <pageSetUpPr fitToPage="1"/>
  </sheetPr>
  <dimension ref="A1:J33"/>
  <sheetViews>
    <sheetView zoomScale="60" zoomScaleNormal="60" workbookViewId="0">
      <selection activeCell="N59" sqref="N59"/>
    </sheetView>
  </sheetViews>
  <sheetFormatPr baseColWidth="10" defaultRowHeight="15" x14ac:dyDescent="0.25"/>
  <cols>
    <col min="1" max="1" width="11.42578125" style="338"/>
    <col min="2" max="2" width="26.140625" style="338" bestFit="1" customWidth="1"/>
    <col min="3" max="3" width="18.7109375" style="338" bestFit="1" customWidth="1"/>
    <col min="4" max="4" width="22.85546875" style="338" customWidth="1"/>
    <col min="5" max="5" width="14" style="338" customWidth="1"/>
    <col min="6" max="7" width="13.140625" style="338" customWidth="1"/>
    <col min="8" max="8" width="13.85546875" style="338" customWidth="1"/>
    <col min="9" max="9" width="24.42578125" style="339" customWidth="1"/>
    <col min="10" max="16384" width="11.42578125" style="339"/>
  </cols>
  <sheetData>
    <row r="1" spans="1:10" ht="24.95" customHeight="1" x14ac:dyDescent="0.25">
      <c r="B1" s="673" t="s">
        <v>307</v>
      </c>
      <c r="C1" s="673"/>
      <c r="D1" s="673"/>
      <c r="E1" s="673"/>
      <c r="F1" s="673"/>
      <c r="G1" s="427"/>
      <c r="H1" s="427"/>
    </row>
    <row r="2" spans="1:10" ht="24.95" customHeight="1" x14ac:dyDescent="0.25">
      <c r="B2" s="674" t="s">
        <v>286</v>
      </c>
      <c r="C2" s="674"/>
      <c r="D2" s="674"/>
      <c r="E2" s="674"/>
      <c r="F2" s="674"/>
      <c r="G2" s="427"/>
      <c r="H2" s="427"/>
    </row>
    <row r="3" spans="1:10" ht="24.95" customHeight="1" x14ac:dyDescent="0.25">
      <c r="B3" s="675" t="s">
        <v>308</v>
      </c>
      <c r="C3" s="675"/>
      <c r="D3" s="675"/>
      <c r="E3" s="675"/>
      <c r="F3" s="675"/>
      <c r="G3" s="427"/>
      <c r="H3" s="427"/>
    </row>
    <row r="4" spans="1:10" s="430" customFormat="1" ht="24.95" customHeight="1" x14ac:dyDescent="0.25">
      <c r="A4" s="428"/>
      <c r="B4" s="343"/>
      <c r="C4" s="344" t="s">
        <v>309</v>
      </c>
      <c r="D4" s="344" t="s">
        <v>310</v>
      </c>
      <c r="E4" s="344" t="s">
        <v>311</v>
      </c>
      <c r="F4" s="344" t="s">
        <v>312</v>
      </c>
      <c r="G4" s="429"/>
      <c r="H4" s="429"/>
    </row>
    <row r="5" spans="1:10" ht="24.95" customHeight="1" x14ac:dyDescent="0.25">
      <c r="B5" s="343" t="s">
        <v>313</v>
      </c>
      <c r="C5" s="431">
        <v>45.5</v>
      </c>
      <c r="D5" s="432">
        <v>6.07</v>
      </c>
      <c r="E5" s="433">
        <v>4672</v>
      </c>
      <c r="F5" s="433">
        <v>4373</v>
      </c>
      <c r="G5" s="434"/>
      <c r="H5" s="435"/>
      <c r="J5" s="436"/>
    </row>
    <row r="6" spans="1:10" ht="24.95" customHeight="1" x14ac:dyDescent="0.25">
      <c r="B6" s="343" t="s">
        <v>314</v>
      </c>
      <c r="C6" s="431">
        <v>45.9</v>
      </c>
      <c r="D6" s="432">
        <v>6.16</v>
      </c>
      <c r="E6" s="433">
        <v>4686</v>
      </c>
      <c r="F6" s="433">
        <v>4383</v>
      </c>
      <c r="G6" s="434"/>
      <c r="H6" s="435"/>
      <c r="J6" s="436"/>
    </row>
    <row r="7" spans="1:10" ht="24.95" customHeight="1" x14ac:dyDescent="0.25">
      <c r="B7" s="343" t="s">
        <v>315</v>
      </c>
      <c r="C7" s="431">
        <v>45.9</v>
      </c>
      <c r="D7" s="432">
        <v>6.32</v>
      </c>
      <c r="E7" s="433">
        <v>5043</v>
      </c>
      <c r="F7" s="433">
        <v>4732</v>
      </c>
      <c r="G7" s="434"/>
      <c r="H7" s="435"/>
      <c r="J7" s="436"/>
    </row>
    <row r="8" spans="1:10" ht="24.95" customHeight="1" x14ac:dyDescent="0.25">
      <c r="B8" s="343" t="s">
        <v>316</v>
      </c>
      <c r="C8" s="431">
        <v>46.6</v>
      </c>
      <c r="D8" s="432">
        <v>6.25</v>
      </c>
      <c r="E8" s="433">
        <v>4691</v>
      </c>
      <c r="F8" s="433">
        <v>4384</v>
      </c>
      <c r="G8" s="434"/>
      <c r="H8" s="435"/>
      <c r="J8" s="436"/>
    </row>
    <row r="9" spans="1:10" ht="24.95" customHeight="1" x14ac:dyDescent="0.25">
      <c r="B9" s="343" t="s">
        <v>317</v>
      </c>
      <c r="C9" s="431">
        <v>48.3</v>
      </c>
      <c r="D9" s="432">
        <v>6.72</v>
      </c>
      <c r="E9" s="433">
        <v>5101</v>
      </c>
      <c r="F9" s="433">
        <v>4770</v>
      </c>
      <c r="G9" s="434"/>
      <c r="H9" s="435"/>
      <c r="J9" s="436"/>
    </row>
    <row r="10" spans="1:10" ht="24.95" customHeight="1" x14ac:dyDescent="0.25">
      <c r="B10" s="343" t="s">
        <v>318</v>
      </c>
      <c r="C10" s="431">
        <v>49.6</v>
      </c>
      <c r="D10" s="432">
        <v>6.96</v>
      </c>
      <c r="E10" s="433">
        <v>5327</v>
      </c>
      <c r="F10" s="433">
        <v>4985</v>
      </c>
      <c r="G10" s="434"/>
      <c r="H10" s="435"/>
      <c r="J10" s="436"/>
    </row>
    <row r="11" spans="1:10" ht="24.95" customHeight="1" x14ac:dyDescent="0.25">
      <c r="B11" s="343" t="s">
        <v>319</v>
      </c>
      <c r="C11" s="431">
        <v>48.5</v>
      </c>
      <c r="D11" s="432">
        <v>6.08</v>
      </c>
      <c r="E11" s="433">
        <v>4788</v>
      </c>
      <c r="F11" s="433">
        <v>4489</v>
      </c>
      <c r="G11" s="434"/>
      <c r="H11" s="435"/>
      <c r="J11" s="436"/>
    </row>
    <row r="12" spans="1:10" ht="24.95" customHeight="1" x14ac:dyDescent="0.25">
      <c r="B12" s="343" t="s">
        <v>320</v>
      </c>
      <c r="C12" s="431">
        <v>48.1</v>
      </c>
      <c r="D12" s="432">
        <v>6.44</v>
      </c>
      <c r="E12" s="433">
        <v>4870</v>
      </c>
      <c r="F12" s="433">
        <v>4553</v>
      </c>
      <c r="G12" s="434"/>
      <c r="H12" s="435"/>
      <c r="J12" s="436"/>
    </row>
    <row r="13" spans="1:10" ht="24.95" customHeight="1" x14ac:dyDescent="0.25"/>
    <row r="14" spans="1:10" ht="24.95" customHeight="1" x14ac:dyDescent="0.25">
      <c r="B14" s="687" t="s">
        <v>307</v>
      </c>
      <c r="C14" s="688"/>
      <c r="D14" s="688"/>
      <c r="E14" s="688"/>
      <c r="F14" s="689"/>
    </row>
    <row r="15" spans="1:10" ht="24.95" customHeight="1" x14ac:dyDescent="0.25">
      <c r="B15" s="690" t="str">
        <f>B2</f>
        <v>Campagne : Eté 2015</v>
      </c>
      <c r="C15" s="691"/>
      <c r="D15" s="691"/>
      <c r="E15" s="691"/>
      <c r="F15" s="692"/>
    </row>
    <row r="16" spans="1:10" ht="24.95" customHeight="1" x14ac:dyDescent="0.25">
      <c r="B16" s="693" t="s">
        <v>321</v>
      </c>
      <c r="C16" s="694"/>
      <c r="D16" s="694"/>
      <c r="E16" s="694"/>
      <c r="F16" s="695"/>
    </row>
    <row r="17" spans="2:9" ht="24.95" customHeight="1" x14ac:dyDescent="0.25">
      <c r="B17" s="343"/>
      <c r="C17" s="344" t="s">
        <v>309</v>
      </c>
      <c r="D17" s="344" t="s">
        <v>310</v>
      </c>
      <c r="E17" s="344" t="s">
        <v>311</v>
      </c>
      <c r="F17" s="344" t="s">
        <v>312</v>
      </c>
    </row>
    <row r="18" spans="2:9" ht="24.95" customHeight="1" x14ac:dyDescent="0.25">
      <c r="B18" s="343" t="s">
        <v>86</v>
      </c>
      <c r="C18" s="437">
        <v>1.1923030155642014</v>
      </c>
      <c r="D18" s="356">
        <v>0.20047057392996093</v>
      </c>
      <c r="E18" s="357">
        <v>146.15114299610886</v>
      </c>
      <c r="F18" s="357">
        <v>136.50194552529177</v>
      </c>
    </row>
    <row r="19" spans="2:9" ht="24.95" customHeight="1" x14ac:dyDescent="0.25"/>
    <row r="20" spans="2:9" ht="24.95" customHeight="1" x14ac:dyDescent="0.25">
      <c r="B20" s="673" t="s">
        <v>307</v>
      </c>
      <c r="C20" s="673"/>
      <c r="D20" s="673"/>
      <c r="E20" s="673"/>
      <c r="F20" s="673"/>
      <c r="G20" s="673"/>
      <c r="H20" s="673"/>
    </row>
    <row r="21" spans="2:9" ht="24.95" customHeight="1" x14ac:dyDescent="0.25">
      <c r="B21" s="674" t="str">
        <f>B15</f>
        <v>Campagne : Eté 2015</v>
      </c>
      <c r="C21" s="674"/>
      <c r="D21" s="674"/>
      <c r="E21" s="674"/>
      <c r="F21" s="674"/>
      <c r="G21" s="674"/>
      <c r="H21" s="674"/>
    </row>
    <row r="22" spans="2:9" ht="24.95" customHeight="1" x14ac:dyDescent="0.25">
      <c r="B22" s="675" t="s">
        <v>322</v>
      </c>
      <c r="C22" s="675"/>
      <c r="D22" s="675"/>
      <c r="E22" s="675"/>
      <c r="F22" s="675"/>
      <c r="G22" s="675"/>
      <c r="H22" s="675"/>
    </row>
    <row r="23" spans="2:9" ht="24.95" customHeight="1" x14ac:dyDescent="0.25">
      <c r="B23" s="343"/>
      <c r="C23" s="344" t="s">
        <v>309</v>
      </c>
      <c r="D23" s="344" t="s">
        <v>310</v>
      </c>
      <c r="E23" s="344" t="s">
        <v>311</v>
      </c>
      <c r="F23" s="344" t="s">
        <v>312</v>
      </c>
      <c r="G23" s="344" t="s">
        <v>323</v>
      </c>
      <c r="H23" s="344" t="s">
        <v>324</v>
      </c>
    </row>
    <row r="24" spans="2:9" ht="24.95" customHeight="1" x14ac:dyDescent="0.25">
      <c r="B24" s="343" t="str">
        <f>B5</f>
        <v>ISS_E15 PC PAR</v>
      </c>
      <c r="C24" s="354">
        <v>36.727075997081712</v>
      </c>
      <c r="D24" s="356">
        <v>4.9078331736381324</v>
      </c>
      <c r="E24" s="357">
        <v>3775.88192631323</v>
      </c>
      <c r="F24" s="357">
        <v>3534.4165341702337</v>
      </c>
      <c r="G24" s="438">
        <v>39.1</v>
      </c>
      <c r="H24" s="357">
        <v>1937.4096693096724</v>
      </c>
      <c r="I24" s="439" t="str">
        <f>B24</f>
        <v>ISS_E15 PC PAR</v>
      </c>
    </row>
    <row r="25" spans="2:9" ht="24.95" customHeight="1" x14ac:dyDescent="0.25">
      <c r="B25" s="343" t="str">
        <f t="shared" ref="B25:B31" si="0">B6</f>
        <v>ISS_E15 PC BAN</v>
      </c>
      <c r="C25" s="354">
        <v>44.424645999513615</v>
      </c>
      <c r="D25" s="356">
        <v>5.9633355289396883</v>
      </c>
      <c r="E25" s="357">
        <v>4536.1849877188715</v>
      </c>
      <c r="F25" s="357">
        <v>4242.7888796950392</v>
      </c>
      <c r="G25" s="438">
        <v>37.1</v>
      </c>
      <c r="H25" s="357">
        <v>2464.6642053281794</v>
      </c>
      <c r="I25" s="439" t="str">
        <f t="shared" ref="I25:I31" si="1">B25</f>
        <v>ISS_E15 PC BAN</v>
      </c>
    </row>
    <row r="26" spans="2:9" ht="24.95" customHeight="1" x14ac:dyDescent="0.25">
      <c r="B26" s="343" t="str">
        <f t="shared" si="0"/>
        <v>STO_E15  PC PAR</v>
      </c>
      <c r="C26" s="354">
        <v>35.483106602626464</v>
      </c>
      <c r="D26" s="356">
        <v>4.8941496437256813</v>
      </c>
      <c r="E26" s="357">
        <v>3902.0342163180935</v>
      </c>
      <c r="F26" s="357">
        <v>3661.24205384679</v>
      </c>
      <c r="G26" s="438">
        <v>41.1</v>
      </c>
      <c r="H26" s="357">
        <v>1930.4215697157595</v>
      </c>
      <c r="I26" s="439" t="str">
        <f t="shared" si="1"/>
        <v>STO_E15  PC PAR</v>
      </c>
    </row>
    <row r="27" spans="2:9" ht="24.95" customHeight="1" x14ac:dyDescent="0.25">
      <c r="B27" s="343" t="str">
        <f t="shared" si="0"/>
        <v>STO_E15  PC BAN</v>
      </c>
      <c r="C27" s="354">
        <v>41.559745634727626</v>
      </c>
      <c r="D27" s="356">
        <v>5.5785022337062262</v>
      </c>
      <c r="E27" s="357">
        <v>4186.5217768725679</v>
      </c>
      <c r="F27" s="357">
        <v>3912.0594669742213</v>
      </c>
      <c r="G27" s="438">
        <v>28.1</v>
      </c>
      <c r="H27" s="357">
        <v>2658.2207567544651</v>
      </c>
      <c r="I27" s="439" t="str">
        <f t="shared" si="1"/>
        <v>STO_E15  PC BAN</v>
      </c>
    </row>
    <row r="28" spans="2:9" ht="24.95" customHeight="1" x14ac:dyDescent="0.25">
      <c r="B28" s="343" t="str">
        <f t="shared" si="0"/>
        <v>ROM_E15  PC PAR</v>
      </c>
      <c r="C28" s="354">
        <v>40.809876179474699</v>
      </c>
      <c r="D28" s="356">
        <v>5.6833948212548631</v>
      </c>
      <c r="E28" s="357">
        <v>4313.1790317363811</v>
      </c>
      <c r="F28" s="357">
        <v>4033.5560065306418</v>
      </c>
      <c r="G28" s="438">
        <v>38.700000000000003</v>
      </c>
      <c r="H28" s="357">
        <v>2259.7198320032835</v>
      </c>
      <c r="I28" s="439" t="str">
        <f t="shared" si="1"/>
        <v>ROM_E15  PC PAR</v>
      </c>
    </row>
    <row r="29" spans="2:9" ht="24.95" customHeight="1" x14ac:dyDescent="0.25">
      <c r="B29" s="343" t="str">
        <f t="shared" si="0"/>
        <v>ROM_E15  PC BAN</v>
      </c>
      <c r="C29" s="354">
        <v>43.161776301070041</v>
      </c>
      <c r="D29" s="356">
        <v>6.0609825863326847</v>
      </c>
      <c r="E29" s="357">
        <v>4637.9471020184828</v>
      </c>
      <c r="F29" s="357">
        <v>4339.7467587709143</v>
      </c>
      <c r="G29" s="438">
        <v>40.799999999999997</v>
      </c>
      <c r="H29" s="357">
        <v>2344.730081192381</v>
      </c>
      <c r="I29" s="439" t="str">
        <f t="shared" si="1"/>
        <v>ROM_E15  PC BAN</v>
      </c>
    </row>
    <row r="30" spans="2:9" ht="24.95" customHeight="1" x14ac:dyDescent="0.25">
      <c r="B30" s="343" t="str">
        <f t="shared" si="0"/>
        <v>IV13_E15  PC PAR</v>
      </c>
      <c r="C30" s="354">
        <v>40.126537633754857</v>
      </c>
      <c r="D30" s="356">
        <v>5.0393232915856023</v>
      </c>
      <c r="E30" s="357">
        <v>3966.3927523103112</v>
      </c>
      <c r="F30" s="357">
        <v>3718.4580463642997</v>
      </c>
      <c r="G30" s="438">
        <v>47.4</v>
      </c>
      <c r="H30" s="357">
        <v>1695.2089323876216</v>
      </c>
      <c r="I30" s="439" t="str">
        <f t="shared" si="1"/>
        <v>IV13_E15  PC PAR</v>
      </c>
    </row>
    <row r="31" spans="2:9" ht="24.95" customHeight="1" x14ac:dyDescent="0.25">
      <c r="B31" s="343" t="str">
        <f t="shared" si="0"/>
        <v>IV13_E15  PC BAN</v>
      </c>
      <c r="C31" s="354">
        <v>40.782399270428016</v>
      </c>
      <c r="D31" s="356">
        <v>5.466633409533074</v>
      </c>
      <c r="E31" s="357">
        <v>4133.0795783073927</v>
      </c>
      <c r="F31" s="357">
        <v>3864.1212145583654</v>
      </c>
      <c r="G31" s="438">
        <v>36.9</v>
      </c>
      <c r="H31" s="357">
        <v>2235.3104863863291</v>
      </c>
      <c r="I31" s="439" t="str">
        <f t="shared" si="1"/>
        <v>IV13_E15  PC BAN</v>
      </c>
    </row>
    <row r="33" spans="6:7" x14ac:dyDescent="0.25">
      <c r="F33" s="440"/>
      <c r="G33" s="365"/>
    </row>
  </sheetData>
  <mergeCells count="9">
    <mergeCell ref="B20:H20"/>
    <mergeCell ref="B21:H21"/>
    <mergeCell ref="B22:H22"/>
    <mergeCell ref="B1:F1"/>
    <mergeCell ref="B2:F2"/>
    <mergeCell ref="B3:F3"/>
    <mergeCell ref="B14:F14"/>
    <mergeCell ref="B15:F15"/>
    <mergeCell ref="B16:F16"/>
  </mergeCells>
  <pageMargins left="0.78740157480314965" right="0.78740157480314965" top="0.98425196850393704" bottom="0.98425196850393704" header="0.51181102362204722" footer="0.51181102362204722"/>
  <pageSetup paperSize="9" scale="75" fitToHeight="0" orientation="portrait" r:id="rId1"/>
  <headerFooter alignWithMargins="0">
    <oddFooter xml:space="preserve">&amp;L&amp;"Rockwell,Gras"&amp;P/&amp;N&amp;C&amp;"Rockwell,Gras"&amp;D&amp;R&amp;"Rockwell,Gras"&amp;F 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249977111117893"/>
  </sheetPr>
  <dimension ref="A1:AG32"/>
  <sheetViews>
    <sheetView zoomScale="60" zoomScaleNormal="60" workbookViewId="0">
      <pane xSplit="1" topLeftCell="B1" activePane="topRight" state="frozen"/>
      <selection activeCell="N59" sqref="N59"/>
      <selection pane="topRight" activeCell="N59" sqref="N59"/>
    </sheetView>
  </sheetViews>
  <sheetFormatPr baseColWidth="10" defaultRowHeight="12.75" x14ac:dyDescent="0.25"/>
  <cols>
    <col min="1" max="1" width="28.7109375" style="398" bestFit="1" customWidth="1"/>
    <col min="2" max="14" width="11.42578125" style="398"/>
    <col min="15" max="16" width="11.42578125" style="441"/>
    <col min="17" max="17" width="23.5703125" style="398" bestFit="1" customWidth="1"/>
    <col min="18" max="18" width="22.28515625" style="398" bestFit="1" customWidth="1"/>
    <col min="19" max="31" width="11.42578125" style="398"/>
    <col min="32" max="33" width="11.42578125" style="441"/>
    <col min="34" max="16384" width="11.42578125" style="398"/>
  </cols>
  <sheetData>
    <row r="1" spans="1:33" ht="24" customHeight="1" x14ac:dyDescent="0.25">
      <c r="A1" s="687" t="s">
        <v>325</v>
      </c>
      <c r="B1" s="688"/>
      <c r="C1" s="688"/>
      <c r="D1" s="688"/>
      <c r="E1" s="688"/>
      <c r="F1" s="688"/>
      <c r="G1" s="688"/>
      <c r="H1" s="688"/>
      <c r="I1" s="688"/>
      <c r="J1" s="688"/>
      <c r="K1" s="688"/>
      <c r="L1" s="688"/>
      <c r="M1" s="688"/>
      <c r="N1" s="689"/>
      <c r="Q1" s="442"/>
      <c r="R1" s="673" t="s">
        <v>326</v>
      </c>
      <c r="S1" s="673"/>
      <c r="T1" s="673"/>
      <c r="U1" s="673"/>
      <c r="V1" s="673"/>
      <c r="W1" s="673"/>
      <c r="X1" s="673"/>
      <c r="Y1" s="673"/>
      <c r="Z1" s="673"/>
      <c r="AA1" s="673"/>
      <c r="AB1" s="673"/>
      <c r="AC1" s="673"/>
      <c r="AD1" s="673"/>
      <c r="AE1" s="673"/>
    </row>
    <row r="2" spans="1:33" ht="24" customHeight="1" x14ac:dyDescent="0.25">
      <c r="A2" s="690" t="s">
        <v>286</v>
      </c>
      <c r="B2" s="691"/>
      <c r="C2" s="691"/>
      <c r="D2" s="691"/>
      <c r="E2" s="691"/>
      <c r="F2" s="691"/>
      <c r="G2" s="691"/>
      <c r="H2" s="691"/>
      <c r="I2" s="691"/>
      <c r="J2" s="691"/>
      <c r="K2" s="691"/>
      <c r="L2" s="691"/>
      <c r="M2" s="691"/>
      <c r="N2" s="692"/>
      <c r="Q2" s="442"/>
      <c r="R2" s="674" t="str">
        <f>A2</f>
        <v>Campagne : Eté 2015</v>
      </c>
      <c r="S2" s="674"/>
      <c r="T2" s="674"/>
      <c r="U2" s="674"/>
      <c r="V2" s="674"/>
      <c r="W2" s="674"/>
      <c r="X2" s="674"/>
      <c r="Y2" s="674"/>
      <c r="Z2" s="674"/>
      <c r="AA2" s="674"/>
      <c r="AB2" s="674"/>
      <c r="AC2" s="674"/>
      <c r="AD2" s="674"/>
      <c r="AE2" s="674"/>
    </row>
    <row r="3" spans="1:33" ht="24" customHeight="1" thickBot="1" x14ac:dyDescent="0.3">
      <c r="A3" s="699" t="s">
        <v>201</v>
      </c>
      <c r="B3" s="700"/>
      <c r="C3" s="700"/>
      <c r="D3" s="700"/>
      <c r="E3" s="700"/>
      <c r="F3" s="700"/>
      <c r="G3" s="700"/>
      <c r="H3" s="700"/>
      <c r="I3" s="700"/>
      <c r="J3" s="700"/>
      <c r="K3" s="700"/>
      <c r="L3" s="700"/>
      <c r="M3" s="700"/>
      <c r="N3" s="701"/>
      <c r="Q3" s="442"/>
      <c r="R3" s="675" t="s">
        <v>327</v>
      </c>
      <c r="S3" s="675"/>
      <c r="T3" s="675"/>
      <c r="U3" s="675"/>
      <c r="V3" s="675"/>
      <c r="W3" s="675"/>
      <c r="X3" s="675"/>
      <c r="Y3" s="675"/>
      <c r="Z3" s="675"/>
      <c r="AA3" s="675"/>
      <c r="AB3" s="675"/>
      <c r="AC3" s="675"/>
      <c r="AD3" s="675"/>
      <c r="AE3" s="675"/>
    </row>
    <row r="4" spans="1:33" ht="24" customHeight="1" thickBot="1" x14ac:dyDescent="0.3">
      <c r="A4" s="443" t="s">
        <v>202</v>
      </c>
      <c r="B4" s="444" t="s">
        <v>204</v>
      </c>
      <c r="C4" s="445" t="s">
        <v>328</v>
      </c>
      <c r="D4" s="444" t="s">
        <v>329</v>
      </c>
      <c r="E4" s="444" t="s">
        <v>330</v>
      </c>
      <c r="F4" s="444" t="s">
        <v>331</v>
      </c>
      <c r="G4" s="444" t="s">
        <v>332</v>
      </c>
      <c r="H4" s="444" t="s">
        <v>333</v>
      </c>
      <c r="I4" s="444" t="s">
        <v>334</v>
      </c>
      <c r="J4" s="444" t="s">
        <v>335</v>
      </c>
      <c r="K4" s="446" t="s">
        <v>336</v>
      </c>
      <c r="L4" s="447" t="s">
        <v>337</v>
      </c>
      <c r="M4" s="448" t="s">
        <v>338</v>
      </c>
      <c r="N4" s="449" t="s">
        <v>339</v>
      </c>
      <c r="O4" s="441" t="s">
        <v>340</v>
      </c>
      <c r="P4" s="441" t="s">
        <v>341</v>
      </c>
      <c r="Q4" s="450"/>
      <c r="R4" s="451" t="s">
        <v>342</v>
      </c>
      <c r="S4" s="452" t="s">
        <v>204</v>
      </c>
      <c r="T4" s="452" t="s">
        <v>343</v>
      </c>
      <c r="U4" s="452" t="s">
        <v>344</v>
      </c>
      <c r="V4" s="452" t="s">
        <v>345</v>
      </c>
      <c r="W4" s="452" t="s">
        <v>346</v>
      </c>
      <c r="X4" s="452" t="s">
        <v>347</v>
      </c>
      <c r="Y4" s="452" t="s">
        <v>348</v>
      </c>
      <c r="Z4" s="452" t="s">
        <v>349</v>
      </c>
      <c r="AA4" s="453" t="s">
        <v>350</v>
      </c>
      <c r="AB4" s="454" t="s">
        <v>336</v>
      </c>
      <c r="AC4" s="455" t="s">
        <v>337</v>
      </c>
      <c r="AD4" s="456" t="s">
        <v>338</v>
      </c>
      <c r="AE4" s="457" t="s">
        <v>351</v>
      </c>
      <c r="AF4" s="441" t="s">
        <v>352</v>
      </c>
      <c r="AG4" s="441" t="s">
        <v>341</v>
      </c>
    </row>
    <row r="5" spans="1:33" ht="24" customHeight="1" x14ac:dyDescent="0.25">
      <c r="A5" s="458" t="s">
        <v>251</v>
      </c>
      <c r="B5" s="459" t="s">
        <v>224</v>
      </c>
      <c r="C5" s="460">
        <v>36.700000000000003</v>
      </c>
      <c r="D5" s="460">
        <v>33.700000000000003</v>
      </c>
      <c r="E5" s="460">
        <v>40.5</v>
      </c>
      <c r="F5" s="460">
        <v>38.5</v>
      </c>
      <c r="G5" s="460">
        <v>33.5</v>
      </c>
      <c r="H5" s="460">
        <v>45.9</v>
      </c>
      <c r="I5" s="460">
        <v>39.4</v>
      </c>
      <c r="J5" s="460">
        <v>35.299999999999997</v>
      </c>
      <c r="K5" s="461">
        <v>37.9375</v>
      </c>
      <c r="L5" s="462">
        <v>37.524999999999999</v>
      </c>
      <c r="M5" s="463">
        <v>38.349999999999994</v>
      </c>
      <c r="N5" s="464">
        <v>36.700000000000003</v>
      </c>
      <c r="O5" s="465">
        <f>N5+(20/100*N5)</f>
        <v>44.040000000000006</v>
      </c>
      <c r="P5" s="465">
        <f>N5-(N5*(20/100))</f>
        <v>29.360000000000003</v>
      </c>
      <c r="Q5" s="696" t="s">
        <v>353</v>
      </c>
      <c r="R5" s="466" t="s">
        <v>354</v>
      </c>
      <c r="S5" s="467" t="s">
        <v>224</v>
      </c>
      <c r="T5" s="468">
        <v>36.727075997081712</v>
      </c>
      <c r="U5" s="469">
        <v>44.424645999513615</v>
      </c>
      <c r="V5" s="469">
        <v>35.483106602626464</v>
      </c>
      <c r="W5" s="469">
        <v>41.559745634727626</v>
      </c>
      <c r="X5" s="469">
        <v>40.809876179474699</v>
      </c>
      <c r="Y5" s="469">
        <v>43.161776301070041</v>
      </c>
      <c r="Z5" s="469">
        <v>40.126537633754857</v>
      </c>
      <c r="AA5" s="470">
        <v>40.782399270428016</v>
      </c>
      <c r="AB5" s="471">
        <v>40.38439545233463</v>
      </c>
      <c r="AC5" s="472">
        <v>38.286649103234431</v>
      </c>
      <c r="AD5" s="473">
        <v>42.482141801434821</v>
      </c>
      <c r="AE5" s="474" t="str">
        <f>N7</f>
        <v>AB</v>
      </c>
    </row>
    <row r="6" spans="1:33" ht="24" customHeight="1" x14ac:dyDescent="0.25">
      <c r="A6" s="475" t="s">
        <v>355</v>
      </c>
      <c r="B6" s="476" t="s">
        <v>254</v>
      </c>
      <c r="C6" s="477">
        <v>4522.4897217347716</v>
      </c>
      <c r="D6" s="477">
        <v>4343.2492340325252</v>
      </c>
      <c r="E6" s="477">
        <v>3778.2708252615271</v>
      </c>
      <c r="F6" s="477">
        <v>4726.0320881812613</v>
      </c>
      <c r="G6" s="477">
        <v>3262.2058397683395</v>
      </c>
      <c r="H6" s="477">
        <v>4605.8897283161414</v>
      </c>
      <c r="I6" s="477">
        <v>4561.7464163389568</v>
      </c>
      <c r="J6" s="477">
        <v>4388.9737626714368</v>
      </c>
      <c r="K6" s="478">
        <v>4273.6072020381198</v>
      </c>
      <c r="L6" s="479">
        <v>4031.1782007758984</v>
      </c>
      <c r="M6" s="480">
        <v>4516.0362033003412</v>
      </c>
      <c r="N6" s="481">
        <v>4108</v>
      </c>
      <c r="O6" s="482">
        <f>N6+300</f>
        <v>4408</v>
      </c>
      <c r="P6" s="482">
        <f>N6-300</f>
        <v>3808</v>
      </c>
      <c r="Q6" s="697"/>
      <c r="R6" s="483" t="s">
        <v>256</v>
      </c>
      <c r="S6" s="484" t="s">
        <v>224</v>
      </c>
      <c r="T6" s="485">
        <v>4.9078331736381324</v>
      </c>
      <c r="U6" s="486">
        <v>5.9633355289396883</v>
      </c>
      <c r="V6" s="486">
        <v>4.8941496437256813</v>
      </c>
      <c r="W6" s="486">
        <v>5.5785022337062262</v>
      </c>
      <c r="X6" s="486">
        <v>5.6833948212548631</v>
      </c>
      <c r="Y6" s="486">
        <v>6.0609825863326847</v>
      </c>
      <c r="Z6" s="486">
        <v>5.0393232915856023</v>
      </c>
      <c r="AA6" s="487">
        <v>5.466633409533074</v>
      </c>
      <c r="AB6" s="488">
        <v>5.4492693360894942</v>
      </c>
      <c r="AC6" s="489">
        <v>5.1311752325510698</v>
      </c>
      <c r="AD6" s="490">
        <v>5.7673634396279185</v>
      </c>
      <c r="AE6" s="491">
        <f>N8</f>
        <v>5.2</v>
      </c>
      <c r="AF6" s="441">
        <f>(AE6+(20/100)*AE6)</f>
        <v>6.24</v>
      </c>
      <c r="AG6" s="492">
        <f>(AE6-(AE6*(20/100)))</f>
        <v>4.16</v>
      </c>
    </row>
    <row r="7" spans="1:33" ht="24" customHeight="1" x14ac:dyDescent="0.25">
      <c r="A7" s="493" t="s">
        <v>354</v>
      </c>
      <c r="B7" s="494" t="s">
        <v>224</v>
      </c>
      <c r="C7" s="460">
        <v>43.980471296064174</v>
      </c>
      <c r="D7" s="460">
        <v>43.55712938958284</v>
      </c>
      <c r="E7" s="460">
        <v>36.418655559860518</v>
      </c>
      <c r="F7" s="460">
        <v>45.853239436619717</v>
      </c>
      <c r="G7" s="460">
        <v>32.874360521235516</v>
      </c>
      <c r="H7" s="460">
        <v>43.882304227807637</v>
      </c>
      <c r="I7" s="460">
        <v>43.83702904985411</v>
      </c>
      <c r="J7" s="460">
        <v>42.965545617173532</v>
      </c>
      <c r="K7" s="461">
        <v>41.671091887274756</v>
      </c>
      <c r="L7" s="462">
        <v>39.277629106753579</v>
      </c>
      <c r="M7" s="463">
        <v>44.064554667795932</v>
      </c>
      <c r="N7" s="481" t="s">
        <v>356</v>
      </c>
      <c r="O7" s="465"/>
      <c r="P7" s="482"/>
      <c r="Q7" s="697"/>
      <c r="R7" s="483" t="s">
        <v>355</v>
      </c>
      <c r="S7" s="484" t="s">
        <v>254</v>
      </c>
      <c r="T7" s="495">
        <v>3775.88192631323</v>
      </c>
      <c r="U7" s="496">
        <v>4536.1849877188715</v>
      </c>
      <c r="V7" s="496">
        <v>3902.0342163180935</v>
      </c>
      <c r="W7" s="496">
        <v>4186.5217768725679</v>
      </c>
      <c r="X7" s="496">
        <v>4313.1790317363811</v>
      </c>
      <c r="Y7" s="496">
        <v>4637.9471020184828</v>
      </c>
      <c r="Z7" s="496">
        <v>3966.3927523103112</v>
      </c>
      <c r="AA7" s="497">
        <v>4133.0795783073927</v>
      </c>
      <c r="AB7" s="498">
        <v>4181.4026714494166</v>
      </c>
      <c r="AC7" s="499">
        <v>3989.3719816695038</v>
      </c>
      <c r="AD7" s="500">
        <v>4373.4333612293285</v>
      </c>
      <c r="AE7" s="501">
        <f>N6</f>
        <v>4108</v>
      </c>
      <c r="AF7" s="502">
        <f>AE7+300</f>
        <v>4408</v>
      </c>
      <c r="AG7" s="503">
        <f>AE7-300</f>
        <v>3808</v>
      </c>
    </row>
    <row r="8" spans="1:33" ht="24" customHeight="1" x14ac:dyDescent="0.25">
      <c r="A8" s="493" t="s">
        <v>256</v>
      </c>
      <c r="B8" s="494" t="s">
        <v>224</v>
      </c>
      <c r="C8" s="504">
        <v>6.0710366006517917</v>
      </c>
      <c r="D8" s="504">
        <v>5.9793777987273149</v>
      </c>
      <c r="E8" s="504">
        <v>5.0319004261913989</v>
      </c>
      <c r="F8" s="504">
        <v>6.3671843233312915</v>
      </c>
      <c r="G8" s="504">
        <v>4.398620897683398</v>
      </c>
      <c r="H8" s="504">
        <v>6.1480255702455322</v>
      </c>
      <c r="I8" s="504">
        <v>6.132046175313965</v>
      </c>
      <c r="J8" s="504">
        <v>5.9202027429934407</v>
      </c>
      <c r="K8" s="505">
        <v>5.7560493168922662</v>
      </c>
      <c r="L8" s="506">
        <v>5.4084010249601384</v>
      </c>
      <c r="M8" s="507">
        <v>6.1036976088243957</v>
      </c>
      <c r="N8" s="508">
        <v>5.2</v>
      </c>
      <c r="O8" s="465">
        <f t="shared" ref="O8" si="0">N8+(20/100*N8)</f>
        <v>6.24</v>
      </c>
      <c r="P8" s="465">
        <f>N8-(N8*(20/100))</f>
        <v>4.16</v>
      </c>
      <c r="Q8" s="697"/>
      <c r="R8" s="483" t="s">
        <v>257</v>
      </c>
      <c r="S8" s="484" t="s">
        <v>254</v>
      </c>
      <c r="T8" s="495">
        <v>3534.4165341702337</v>
      </c>
      <c r="U8" s="496">
        <v>4242.7888796950392</v>
      </c>
      <c r="V8" s="496">
        <v>3661.24205384679</v>
      </c>
      <c r="W8" s="496">
        <v>3912.0594669742213</v>
      </c>
      <c r="X8" s="496">
        <v>4033.5560065306418</v>
      </c>
      <c r="Y8" s="496">
        <v>4339.7467587709143</v>
      </c>
      <c r="Z8" s="496">
        <v>3718.4580463642997</v>
      </c>
      <c r="AA8" s="497">
        <v>3864.1212145583654</v>
      </c>
      <c r="AB8" s="498">
        <v>3913.2986201138133</v>
      </c>
      <c r="AC8" s="499">
        <v>3736.9181602279914</v>
      </c>
      <c r="AD8" s="500">
        <v>4089.6790799996347</v>
      </c>
      <c r="AE8" s="501">
        <f>N9</f>
        <v>3850</v>
      </c>
      <c r="AF8" s="502">
        <f>AE8+300</f>
        <v>4150</v>
      </c>
      <c r="AG8" s="503">
        <f>AE8-300</f>
        <v>3550</v>
      </c>
    </row>
    <row r="9" spans="1:33" ht="24" customHeight="1" x14ac:dyDescent="0.25">
      <c r="A9" s="493" t="s">
        <v>257</v>
      </c>
      <c r="B9" s="494" t="s">
        <v>254</v>
      </c>
      <c r="C9" s="477">
        <v>4245.6067936826284</v>
      </c>
      <c r="D9" s="477">
        <v>4099.1650954513316</v>
      </c>
      <c r="E9" s="477">
        <v>3552.9972878729177</v>
      </c>
      <c r="F9" s="477">
        <v>4468.7039804041633</v>
      </c>
      <c r="G9" s="477">
        <v>3082.0682915057914</v>
      </c>
      <c r="H9" s="477">
        <v>4323.038791224757</v>
      </c>
      <c r="I9" s="477">
        <v>4278.8264620068494</v>
      </c>
      <c r="J9" s="477">
        <v>4125.2305307096012</v>
      </c>
      <c r="K9" s="478">
        <v>4021.954654107255</v>
      </c>
      <c r="L9" s="479">
        <v>3789.8747087670467</v>
      </c>
      <c r="M9" s="480">
        <v>4254.0345994474628</v>
      </c>
      <c r="N9" s="481">
        <v>3850</v>
      </c>
      <c r="O9" s="482">
        <f t="shared" ref="O9:O12" si="1">N9+300</f>
        <v>4150</v>
      </c>
      <c r="P9" s="482">
        <f t="shared" ref="P9:P12" si="2">N9-300</f>
        <v>3550</v>
      </c>
      <c r="Q9" s="697"/>
      <c r="R9" s="483" t="s">
        <v>357</v>
      </c>
      <c r="S9" s="484" t="s">
        <v>224</v>
      </c>
      <c r="T9" s="509">
        <v>39.1</v>
      </c>
      <c r="U9" s="510">
        <v>37.1</v>
      </c>
      <c r="V9" s="510">
        <v>41.1</v>
      </c>
      <c r="W9" s="510">
        <v>28.1</v>
      </c>
      <c r="X9" s="510">
        <v>38.700000000000003</v>
      </c>
      <c r="Y9" s="510">
        <v>40.799999999999997</v>
      </c>
      <c r="Z9" s="510">
        <v>47.4</v>
      </c>
      <c r="AA9" s="511">
        <v>36.9</v>
      </c>
      <c r="AB9" s="512">
        <v>38.65</v>
      </c>
      <c r="AC9" s="513">
        <v>41.575000000000003</v>
      </c>
      <c r="AD9" s="514">
        <v>35.725000000000001</v>
      </c>
      <c r="AE9" s="515">
        <f>N5</f>
        <v>36.700000000000003</v>
      </c>
      <c r="AF9" s="465">
        <f>(AE9+(20/100)*AE9)</f>
        <v>44.040000000000006</v>
      </c>
      <c r="AG9" s="465">
        <f>(AE9-(AE9*(20/100)))</f>
        <v>29.360000000000003</v>
      </c>
    </row>
    <row r="10" spans="1:33" ht="24" customHeight="1" thickBot="1" x14ac:dyDescent="0.3">
      <c r="A10" s="475" t="s">
        <v>258</v>
      </c>
      <c r="B10" s="476" t="s">
        <v>254</v>
      </c>
      <c r="C10" s="477">
        <v>2485.6191004011034</v>
      </c>
      <c r="D10" s="477">
        <v>2532.3964582842327</v>
      </c>
      <c r="E10" s="477">
        <v>1891.2833862843859</v>
      </c>
      <c r="F10" s="477">
        <v>2536.5029479485606</v>
      </c>
      <c r="G10" s="477">
        <v>1865.3254138513512</v>
      </c>
      <c r="H10" s="477">
        <v>2086.3139860525939</v>
      </c>
      <c r="I10" s="477">
        <v>2376.268835976151</v>
      </c>
      <c r="J10" s="477">
        <v>2474.8741533691123</v>
      </c>
      <c r="K10" s="478">
        <v>2281.0730352709361</v>
      </c>
      <c r="L10" s="479">
        <v>2154.6241841282476</v>
      </c>
      <c r="M10" s="480">
        <v>2407.5218864136245</v>
      </c>
      <c r="N10" s="481">
        <v>2221</v>
      </c>
      <c r="O10" s="482">
        <f t="shared" si="1"/>
        <v>2521</v>
      </c>
      <c r="P10" s="482">
        <f t="shared" si="2"/>
        <v>1921</v>
      </c>
      <c r="Q10" s="698"/>
      <c r="R10" s="516" t="s">
        <v>258</v>
      </c>
      <c r="S10" s="517" t="s">
        <v>254</v>
      </c>
      <c r="T10" s="518">
        <v>1937.4096693096724</v>
      </c>
      <c r="U10" s="519">
        <v>2464.6642053281794</v>
      </c>
      <c r="V10" s="519">
        <v>1930.4215697157595</v>
      </c>
      <c r="W10" s="519">
        <v>2658.2207567544651</v>
      </c>
      <c r="X10" s="519">
        <v>2259.7198320032835</v>
      </c>
      <c r="Y10" s="519">
        <v>2344.730081192381</v>
      </c>
      <c r="Z10" s="519">
        <v>1695.2089323876216</v>
      </c>
      <c r="AA10" s="520">
        <v>2235.3104863863291</v>
      </c>
      <c r="AB10" s="521">
        <v>2190.7106916347116</v>
      </c>
      <c r="AC10" s="522">
        <v>1955.6900008540842</v>
      </c>
      <c r="AD10" s="523">
        <v>2425.7313824153389</v>
      </c>
      <c r="AE10" s="524">
        <f>N10</f>
        <v>2221</v>
      </c>
      <c r="AF10" s="502">
        <f>AE10+300</f>
        <v>2521</v>
      </c>
      <c r="AG10" s="503">
        <f>AE10-300</f>
        <v>1921</v>
      </c>
    </row>
    <row r="11" spans="1:33" ht="24" customHeight="1" x14ac:dyDescent="0.25">
      <c r="A11" s="493" t="s">
        <v>259</v>
      </c>
      <c r="B11" s="494" t="s">
        <v>254</v>
      </c>
      <c r="C11" s="477">
        <v>4507.6717222361503</v>
      </c>
      <c r="D11" s="477">
        <v>4132.5301673344338</v>
      </c>
      <c r="E11" s="477">
        <v>3869.4719101123592</v>
      </c>
      <c r="F11" s="477">
        <v>4764.4264543784439</v>
      </c>
      <c r="G11" s="477">
        <v>3307.3501447876442</v>
      </c>
      <c r="H11" s="477">
        <v>4598.3902368153431</v>
      </c>
      <c r="I11" s="477">
        <v>4533.4228085754139</v>
      </c>
      <c r="J11" s="477">
        <v>4331.8250447227201</v>
      </c>
      <c r="K11" s="478">
        <v>4255.6360611203136</v>
      </c>
      <c r="L11" s="479">
        <v>4054.4791464278924</v>
      </c>
      <c r="M11" s="480">
        <v>4456.7929758127357</v>
      </c>
      <c r="N11" s="481">
        <v>3850</v>
      </c>
      <c r="O11" s="482">
        <f t="shared" si="1"/>
        <v>4150</v>
      </c>
      <c r="P11" s="482">
        <f t="shared" si="2"/>
        <v>3550</v>
      </c>
      <c r="Q11" s="696" t="s">
        <v>358</v>
      </c>
      <c r="R11" s="466" t="s">
        <v>357</v>
      </c>
      <c r="S11" s="525" t="s">
        <v>224</v>
      </c>
      <c r="T11" s="468">
        <v>36.700000000000003</v>
      </c>
      <c r="U11" s="469">
        <v>33.700000000000003</v>
      </c>
      <c r="V11" s="469">
        <v>40.5</v>
      </c>
      <c r="W11" s="469">
        <v>38.5</v>
      </c>
      <c r="X11" s="469">
        <v>33.5</v>
      </c>
      <c r="Y11" s="469">
        <v>45.9</v>
      </c>
      <c r="Z11" s="469">
        <v>39.4</v>
      </c>
      <c r="AA11" s="470">
        <v>35.299999999999997</v>
      </c>
      <c r="AB11" s="471">
        <v>37.9375</v>
      </c>
      <c r="AC11" s="472">
        <v>37.524999999999999</v>
      </c>
      <c r="AD11" s="473">
        <v>38.349999999999994</v>
      </c>
      <c r="AE11" s="474">
        <f>N5</f>
        <v>36.700000000000003</v>
      </c>
      <c r="AF11" s="465">
        <f>(AE11+(20/100)*AE11)</f>
        <v>44.040000000000006</v>
      </c>
      <c r="AG11" s="465">
        <f>(AE11-(AE11*(20/100)))</f>
        <v>29.360000000000003</v>
      </c>
    </row>
    <row r="12" spans="1:33" ht="24" customHeight="1" x14ac:dyDescent="0.25">
      <c r="A12" s="475" t="s">
        <v>260</v>
      </c>
      <c r="B12" s="476" t="s">
        <v>254</v>
      </c>
      <c r="C12" s="477">
        <v>2651.5062001754832</v>
      </c>
      <c r="D12" s="477">
        <v>2554.5175009427298</v>
      </c>
      <c r="E12" s="477">
        <v>2079.5857865168537</v>
      </c>
      <c r="F12" s="477">
        <v>2718.3722694427429</v>
      </c>
      <c r="G12" s="477">
        <v>2015.1378462837833</v>
      </c>
      <c r="H12" s="477">
        <v>2235.279118117101</v>
      </c>
      <c r="I12" s="477">
        <v>2530.5542219967015</v>
      </c>
      <c r="J12" s="477">
        <v>2608.5408039355998</v>
      </c>
      <c r="K12" s="478">
        <v>2424.1867184263747</v>
      </c>
      <c r="L12" s="479">
        <v>2319.1960137432052</v>
      </c>
      <c r="M12" s="480">
        <v>2529.1774231095433</v>
      </c>
      <c r="N12" s="481">
        <v>2221</v>
      </c>
      <c r="O12" s="482">
        <f t="shared" si="1"/>
        <v>2521</v>
      </c>
      <c r="P12" s="482">
        <f t="shared" si="2"/>
        <v>1921</v>
      </c>
      <c r="Q12" s="697"/>
      <c r="R12" s="526" t="s">
        <v>359</v>
      </c>
      <c r="S12" s="527" t="s">
        <v>254</v>
      </c>
      <c r="T12" s="495">
        <v>4522.4897217347716</v>
      </c>
      <c r="U12" s="496">
        <v>4343.2492340325252</v>
      </c>
      <c r="V12" s="496">
        <v>3778.2708252615271</v>
      </c>
      <c r="W12" s="496">
        <v>4726.0320881812613</v>
      </c>
      <c r="X12" s="496">
        <v>3262.2058397683395</v>
      </c>
      <c r="Y12" s="496">
        <v>4605.8897283161414</v>
      </c>
      <c r="Z12" s="496">
        <v>4561.7464163389568</v>
      </c>
      <c r="AA12" s="497">
        <v>4388.9737626714368</v>
      </c>
      <c r="AB12" s="498">
        <v>4273.6072020381198</v>
      </c>
      <c r="AC12" s="499">
        <v>4031.1782007758984</v>
      </c>
      <c r="AD12" s="500">
        <v>4516.0362033003412</v>
      </c>
      <c r="AE12" s="501">
        <f>N6</f>
        <v>4108</v>
      </c>
      <c r="AF12" s="502">
        <f t="shared" ref="AF12:AF13" si="3">AE12+300</f>
        <v>4408</v>
      </c>
      <c r="AG12" s="503">
        <f t="shared" ref="AG12:AG13" si="4">AE12-300</f>
        <v>3808</v>
      </c>
    </row>
    <row r="13" spans="1:33" ht="24" customHeight="1" x14ac:dyDescent="0.25">
      <c r="A13" s="493" t="s">
        <v>360</v>
      </c>
      <c r="B13" s="494" t="s">
        <v>254</v>
      </c>
      <c r="C13" s="528">
        <v>-262.0649285535219</v>
      </c>
      <c r="D13" s="528">
        <v>-33.365071883102246</v>
      </c>
      <c r="E13" s="528">
        <v>-316.47462223944149</v>
      </c>
      <c r="F13" s="528">
        <v>-295.72247397428055</v>
      </c>
      <c r="G13" s="528">
        <v>-225.28185328185282</v>
      </c>
      <c r="H13" s="528">
        <v>-275.35144559058608</v>
      </c>
      <c r="I13" s="528">
        <v>-254.59634656856451</v>
      </c>
      <c r="J13" s="528">
        <v>-206.5945140131189</v>
      </c>
      <c r="K13" s="529">
        <v>-233.68140701305856</v>
      </c>
      <c r="L13" s="530">
        <v>-264.60443766084518</v>
      </c>
      <c r="M13" s="531">
        <v>-202.75837636527194</v>
      </c>
      <c r="N13" s="532" t="s">
        <v>236</v>
      </c>
      <c r="O13" s="482"/>
      <c r="P13" s="482"/>
      <c r="Q13" s="697"/>
      <c r="R13" s="526" t="s">
        <v>361</v>
      </c>
      <c r="S13" s="527" t="s">
        <v>254</v>
      </c>
      <c r="T13" s="495">
        <v>2485.6191004011034</v>
      </c>
      <c r="U13" s="496">
        <v>2532.3964582842327</v>
      </c>
      <c r="V13" s="496">
        <v>1891.2833862843859</v>
      </c>
      <c r="W13" s="496">
        <v>2536.5029479485606</v>
      </c>
      <c r="X13" s="496">
        <v>1865.3254138513512</v>
      </c>
      <c r="Y13" s="496">
        <v>2086.3139860525939</v>
      </c>
      <c r="Z13" s="496">
        <v>2376.268835976151</v>
      </c>
      <c r="AA13" s="497">
        <v>2474.8741533691123</v>
      </c>
      <c r="AB13" s="498">
        <v>2281.0730352709361</v>
      </c>
      <c r="AC13" s="499">
        <v>2154.6241841282476</v>
      </c>
      <c r="AD13" s="500">
        <v>2407.5218864136245</v>
      </c>
      <c r="AE13" s="501">
        <f>N10</f>
        <v>2221</v>
      </c>
      <c r="AF13" s="502">
        <f t="shared" si="3"/>
        <v>2521</v>
      </c>
      <c r="AG13" s="503">
        <f t="shared" si="4"/>
        <v>1921</v>
      </c>
    </row>
    <row r="14" spans="1:33" ht="24" customHeight="1" thickBot="1" x14ac:dyDescent="0.3">
      <c r="A14" s="533" t="s">
        <v>362</v>
      </c>
      <c r="B14" s="534" t="s">
        <v>254</v>
      </c>
      <c r="C14" s="535">
        <v>-165.88709977437975</v>
      </c>
      <c r="D14" s="535">
        <v>-22.121042658497117</v>
      </c>
      <c r="E14" s="535">
        <v>-188.30240023246779</v>
      </c>
      <c r="F14" s="535">
        <v>-181.86932149418226</v>
      </c>
      <c r="G14" s="535">
        <v>-149.81243243243216</v>
      </c>
      <c r="H14" s="535">
        <v>-148.96513206450709</v>
      </c>
      <c r="I14" s="535">
        <v>-154.2853860205505</v>
      </c>
      <c r="J14" s="535">
        <v>-133.66665056648753</v>
      </c>
      <c r="K14" s="536">
        <v>-143.11368315543803</v>
      </c>
      <c r="L14" s="537">
        <v>-164.57182961495755</v>
      </c>
      <c r="M14" s="538">
        <v>-121.6555366959185</v>
      </c>
      <c r="N14" s="539" t="s">
        <v>236</v>
      </c>
      <c r="Q14" s="698"/>
      <c r="R14" s="516" t="s">
        <v>363</v>
      </c>
      <c r="S14" s="540" t="s">
        <v>254</v>
      </c>
      <c r="T14" s="518">
        <v>2651.5062001754832</v>
      </c>
      <c r="U14" s="519">
        <v>2554.5175009427298</v>
      </c>
      <c r="V14" s="519">
        <v>2079.5857865168537</v>
      </c>
      <c r="W14" s="519">
        <v>2718.3722694427429</v>
      </c>
      <c r="X14" s="519">
        <v>2015.1378462837833</v>
      </c>
      <c r="Y14" s="519">
        <v>2235.279118117101</v>
      </c>
      <c r="Z14" s="519">
        <v>2530.5542219967015</v>
      </c>
      <c r="AA14" s="520">
        <v>2608.5408039355998</v>
      </c>
      <c r="AB14" s="521">
        <v>2424.1867184263747</v>
      </c>
      <c r="AC14" s="522">
        <v>2319.1960137432052</v>
      </c>
      <c r="AD14" s="523">
        <v>2529.1774231095433</v>
      </c>
      <c r="AE14" s="524">
        <f>N10</f>
        <v>2221</v>
      </c>
      <c r="AF14" s="502">
        <f>AE14+300</f>
        <v>2521</v>
      </c>
      <c r="AG14" s="503">
        <f>AE14-300</f>
        <v>1921</v>
      </c>
    </row>
    <row r="15" spans="1:33" ht="24" x14ac:dyDescent="0.25">
      <c r="Q15" s="696" t="s">
        <v>364</v>
      </c>
      <c r="R15" s="466" t="s">
        <v>365</v>
      </c>
      <c r="S15" s="541" t="s">
        <v>224</v>
      </c>
      <c r="T15" s="542">
        <v>6.5395095367847364E-2</v>
      </c>
      <c r="U15" s="543">
        <v>0.10089020771513348</v>
      </c>
      <c r="V15" s="543">
        <v>1.481481481481485E-2</v>
      </c>
      <c r="W15" s="543">
        <v>-0.27012987012987011</v>
      </c>
      <c r="X15" s="543">
        <v>0.155223880597015</v>
      </c>
      <c r="Y15" s="543">
        <v>-0.11111111111111115</v>
      </c>
      <c r="Z15" s="543">
        <v>0.20304568527918782</v>
      </c>
      <c r="AA15" s="544">
        <v>4.5325779036827239E-2</v>
      </c>
      <c r="AB15" s="545">
        <v>1.8780889621087277E-2</v>
      </c>
      <c r="AC15" s="546">
        <v>0.10792804796802144</v>
      </c>
      <c r="AD15" s="547">
        <v>-6.8448500651890301E-2</v>
      </c>
      <c r="AE15" s="548" t="s">
        <v>236</v>
      </c>
    </row>
    <row r="16" spans="1:33" ht="24" customHeight="1" x14ac:dyDescent="0.25">
      <c r="A16" s="441" t="s">
        <v>366</v>
      </c>
      <c r="B16" s="441">
        <v>4108</v>
      </c>
      <c r="C16" s="441">
        <v>4108</v>
      </c>
      <c r="D16" s="441">
        <v>4108</v>
      </c>
      <c r="E16" s="441">
        <v>4108</v>
      </c>
      <c r="F16" s="441">
        <v>4108</v>
      </c>
      <c r="G16" s="441">
        <v>4108</v>
      </c>
      <c r="H16" s="441">
        <v>4108</v>
      </c>
      <c r="I16" s="441">
        <v>4108</v>
      </c>
      <c r="J16" s="441">
        <v>4108</v>
      </c>
      <c r="K16" s="441">
        <v>4108</v>
      </c>
      <c r="L16" s="441">
        <v>4108</v>
      </c>
      <c r="M16" s="441">
        <v>4108</v>
      </c>
      <c r="N16" s="441">
        <v>4108</v>
      </c>
      <c r="Q16" s="697"/>
      <c r="R16" s="483" t="s">
        <v>367</v>
      </c>
      <c r="S16" s="549" t="s">
        <v>224</v>
      </c>
      <c r="T16" s="550">
        <v>-0.16508778158928616</v>
      </c>
      <c r="U16" s="551">
        <v>4.4421985313334994E-2</v>
      </c>
      <c r="V16" s="551">
        <v>3.2756622481661224E-2</v>
      </c>
      <c r="W16" s="551">
        <v>-0.11415714096776593</v>
      </c>
      <c r="X16" s="551">
        <v>0.32216642467989537</v>
      </c>
      <c r="Y16" s="551">
        <v>6.9600827621336169E-3</v>
      </c>
      <c r="Z16" s="551">
        <v>-0.13051003052169843</v>
      </c>
      <c r="AA16" s="552">
        <v>-5.8303876532697474E-2</v>
      </c>
      <c r="AB16" s="553">
        <v>-2.157534050970572E-2</v>
      </c>
      <c r="AC16" s="554">
        <v>-1.03707196814936E-2</v>
      </c>
      <c r="AD16" s="555">
        <v>-3.157699266600162E-2</v>
      </c>
      <c r="AE16" s="556" t="s">
        <v>236</v>
      </c>
    </row>
    <row r="17" spans="1:31" ht="24" customHeight="1" thickBot="1" x14ac:dyDescent="0.3">
      <c r="A17" s="441" t="s">
        <v>368</v>
      </c>
      <c r="B17" s="441">
        <v>2221</v>
      </c>
      <c r="C17" s="441">
        <v>2221</v>
      </c>
      <c r="D17" s="441">
        <v>2221</v>
      </c>
      <c r="E17" s="441">
        <v>2221</v>
      </c>
      <c r="F17" s="441">
        <v>2221</v>
      </c>
      <c r="G17" s="441">
        <v>2221</v>
      </c>
      <c r="H17" s="441">
        <v>2221</v>
      </c>
      <c r="I17" s="441">
        <v>2221</v>
      </c>
      <c r="J17" s="441">
        <v>2221</v>
      </c>
      <c r="K17" s="441">
        <v>2221</v>
      </c>
      <c r="L17" s="441">
        <v>2221</v>
      </c>
      <c r="M17" s="441">
        <v>2221</v>
      </c>
      <c r="N17" s="441">
        <v>2221</v>
      </c>
      <c r="Q17" s="698"/>
      <c r="R17" s="557" t="s">
        <v>369</v>
      </c>
      <c r="S17" s="558" t="s">
        <v>224</v>
      </c>
      <c r="T17" s="559">
        <v>-0.22055246960524511</v>
      </c>
      <c r="U17" s="560">
        <v>-2.6746306935661955E-2</v>
      </c>
      <c r="V17" s="560">
        <v>2.0693981512873352E-2</v>
      </c>
      <c r="W17" s="560">
        <v>4.7986464555204174E-2</v>
      </c>
      <c r="X17" s="560">
        <v>0.21143464578527521</v>
      </c>
      <c r="Y17" s="560">
        <v>0.12386251392041077</v>
      </c>
      <c r="Z17" s="560">
        <v>-0.28660894477823495</v>
      </c>
      <c r="AA17" s="561">
        <v>-9.6798322717403129E-2</v>
      </c>
      <c r="AB17" s="562">
        <v>-3.9613963358034993E-2</v>
      </c>
      <c r="AC17" s="563">
        <v>-9.2328947544349296E-2</v>
      </c>
      <c r="AD17" s="564">
        <v>7.5635848232475248E-3</v>
      </c>
      <c r="AE17" s="565" t="s">
        <v>236</v>
      </c>
    </row>
    <row r="18" spans="1:31" ht="24" customHeight="1" x14ac:dyDescent="0.25">
      <c r="T18" s="566"/>
      <c r="U18" s="566"/>
      <c r="V18" s="566"/>
      <c r="W18" s="566"/>
      <c r="X18" s="566"/>
      <c r="Y18" s="566"/>
      <c r="Z18" s="566"/>
      <c r="AA18" s="566"/>
      <c r="AB18" s="566"/>
    </row>
    <row r="19" spans="1:31" ht="24" customHeight="1" x14ac:dyDescent="0.25">
      <c r="T19" s="566"/>
      <c r="U19" s="566"/>
      <c r="V19" s="566"/>
      <c r="W19" s="566"/>
      <c r="X19" s="566"/>
      <c r="Y19" s="566"/>
      <c r="Z19" s="566"/>
      <c r="AA19" s="566"/>
      <c r="AB19" s="566"/>
    </row>
    <row r="20" spans="1:31" ht="24" customHeight="1" x14ac:dyDescent="0.25"/>
    <row r="21" spans="1:31" ht="24" customHeight="1" x14ac:dyDescent="0.25"/>
    <row r="22" spans="1:31" ht="24" customHeight="1" x14ac:dyDescent="0.25"/>
    <row r="23" spans="1:31" ht="24" customHeight="1" x14ac:dyDescent="0.25"/>
    <row r="24" spans="1:31" ht="24" customHeight="1" x14ac:dyDescent="0.25"/>
    <row r="25" spans="1:31" ht="24" customHeight="1" x14ac:dyDescent="0.25"/>
    <row r="26" spans="1:31" ht="24" customHeight="1" x14ac:dyDescent="0.25"/>
    <row r="27" spans="1:31" ht="24" customHeight="1" x14ac:dyDescent="0.25"/>
    <row r="28" spans="1:31" ht="24" customHeight="1" x14ac:dyDescent="0.25"/>
    <row r="29" spans="1:31" ht="24" customHeight="1" x14ac:dyDescent="0.25"/>
    <row r="30" spans="1:31" ht="24" customHeight="1" x14ac:dyDescent="0.25"/>
    <row r="31" spans="1:31" ht="24" customHeight="1" x14ac:dyDescent="0.25"/>
    <row r="32" spans="1:31" ht="24" customHeight="1" x14ac:dyDescent="0.25"/>
  </sheetData>
  <mergeCells count="9">
    <mergeCell ref="Q5:Q10"/>
    <mergeCell ref="Q11:Q14"/>
    <mergeCell ref="Q15:Q17"/>
    <mergeCell ref="A1:N1"/>
    <mergeCell ref="R1:AE1"/>
    <mergeCell ref="A2:N2"/>
    <mergeCell ref="R2:AE2"/>
    <mergeCell ref="A3:N3"/>
    <mergeCell ref="R3:AE3"/>
  </mergeCells>
  <conditionalFormatting sqref="T15:AA17">
    <cfRule type="cellIs" dxfId="39" priority="39" operator="lessThan">
      <formula>-0.1</formula>
    </cfRule>
    <cfRule type="cellIs" dxfId="38" priority="40" operator="greaterThan">
      <formula>0.1</formula>
    </cfRule>
  </conditionalFormatting>
  <conditionalFormatting sqref="C6:J6">
    <cfRule type="cellIs" dxfId="37" priority="37" operator="lessThan">
      <formula>$P6</formula>
    </cfRule>
    <cfRule type="cellIs" dxfId="36" priority="38" operator="greaterThan">
      <formula>$O6</formula>
    </cfRule>
  </conditionalFormatting>
  <conditionalFormatting sqref="K6:M6">
    <cfRule type="cellIs" dxfId="35" priority="33" operator="lessThan">
      <formula>$P6</formula>
    </cfRule>
    <cfRule type="cellIs" dxfId="34" priority="34" operator="greaterThan">
      <formula>$O6</formula>
    </cfRule>
    <cfRule type="cellIs" dxfId="33" priority="35" operator="lessThan">
      <formula>$P6</formula>
    </cfRule>
    <cfRule type="cellIs" dxfId="32" priority="36" operator="greaterThan">
      <formula>$O6</formula>
    </cfRule>
  </conditionalFormatting>
  <conditionalFormatting sqref="K9:M12">
    <cfRule type="cellIs" dxfId="31" priority="29" operator="lessThan">
      <formula>$P9</formula>
    </cfRule>
    <cfRule type="cellIs" dxfId="30" priority="30" operator="greaterThan">
      <formula>$O9</formula>
    </cfRule>
    <cfRule type="cellIs" dxfId="29" priority="31" operator="lessThan">
      <formula>$P9</formula>
    </cfRule>
    <cfRule type="cellIs" dxfId="28" priority="32" operator="greaterThan">
      <formula>$O9</formula>
    </cfRule>
  </conditionalFormatting>
  <conditionalFormatting sqref="C9:J12">
    <cfRule type="cellIs" dxfId="27" priority="27" operator="lessThan">
      <formula>$P9</formula>
    </cfRule>
    <cfRule type="cellIs" dxfId="26" priority="28" operator="greaterThan">
      <formula>$O9</formula>
    </cfRule>
  </conditionalFormatting>
  <conditionalFormatting sqref="C5:J5">
    <cfRule type="cellIs" dxfId="25" priority="25" operator="lessThan">
      <formula>$P5</formula>
    </cfRule>
    <cfRule type="cellIs" dxfId="24" priority="26" operator="greaterThan">
      <formula>$O5</formula>
    </cfRule>
  </conditionalFormatting>
  <conditionalFormatting sqref="C8:J8">
    <cfRule type="cellIs" dxfId="23" priority="23" operator="lessThan">
      <formula>$P8</formula>
    </cfRule>
    <cfRule type="cellIs" dxfId="22" priority="24" operator="greaterThan">
      <formula>$O8</formula>
    </cfRule>
  </conditionalFormatting>
  <conditionalFormatting sqref="K5:M5">
    <cfRule type="cellIs" dxfId="21" priority="19" operator="lessThan">
      <formula>$P5</formula>
    </cfRule>
    <cfRule type="cellIs" dxfId="20" priority="20" operator="greaterThan">
      <formula>$O5</formula>
    </cfRule>
    <cfRule type="cellIs" dxfId="19" priority="21" operator="lessThan">
      <formula>$P5</formula>
    </cfRule>
    <cfRule type="cellIs" dxfId="18" priority="22" operator="greaterThan">
      <formula>$O5</formula>
    </cfRule>
  </conditionalFormatting>
  <conditionalFormatting sqref="K8:M8">
    <cfRule type="cellIs" dxfId="17" priority="15" operator="lessThan">
      <formula>$P8</formula>
    </cfRule>
    <cfRule type="cellIs" dxfId="16" priority="16" operator="greaterThan">
      <formula>$O8</formula>
    </cfRule>
    <cfRule type="cellIs" dxfId="15" priority="17" operator="lessThan">
      <formula>$P8</formula>
    </cfRule>
    <cfRule type="cellIs" dxfId="14" priority="18" operator="greaterThan">
      <formula>$O8</formula>
    </cfRule>
  </conditionalFormatting>
  <conditionalFormatting sqref="T6:AA6">
    <cfRule type="cellIs" dxfId="13" priority="13" operator="greaterThan">
      <formula>$AF6</formula>
    </cfRule>
    <cfRule type="cellIs" dxfId="12" priority="14" operator="lessThan">
      <formula>$AG6</formula>
    </cfRule>
  </conditionalFormatting>
  <conditionalFormatting sqref="T7:AA14">
    <cfRule type="cellIs" dxfId="11" priority="11" operator="greaterThan">
      <formula>$AF7</formula>
    </cfRule>
    <cfRule type="cellIs" dxfId="10" priority="12" operator="lessThan">
      <formula>$AG7</formula>
    </cfRule>
  </conditionalFormatting>
  <conditionalFormatting sqref="AB6:AD6">
    <cfRule type="cellIs" dxfId="9" priority="9" operator="greaterThan">
      <formula>$AF6</formula>
    </cfRule>
    <cfRule type="cellIs" dxfId="8" priority="10" operator="lessThan">
      <formula>$AG6</formula>
    </cfRule>
  </conditionalFormatting>
  <conditionalFormatting sqref="AB9:AD9">
    <cfRule type="cellIs" dxfId="7" priority="7" operator="greaterThan">
      <formula>$AF9</formula>
    </cfRule>
    <cfRule type="cellIs" dxfId="6" priority="8" operator="lessThan">
      <formula>$AG9</formula>
    </cfRule>
  </conditionalFormatting>
  <conditionalFormatting sqref="AB11:AD14">
    <cfRule type="cellIs" dxfId="5" priority="5" operator="greaterThan">
      <formula>$AF11</formula>
    </cfRule>
    <cfRule type="cellIs" dxfId="4" priority="6" operator="lessThan">
      <formula>$AG11</formula>
    </cfRule>
  </conditionalFormatting>
  <conditionalFormatting sqref="AB10:AD10">
    <cfRule type="cellIs" dxfId="3" priority="3" operator="greaterThan">
      <formula>$AF10</formula>
    </cfRule>
    <cfRule type="cellIs" dxfId="2" priority="4" operator="lessThan">
      <formula>$AG10</formula>
    </cfRule>
  </conditionalFormatting>
  <conditionalFormatting sqref="AB7:AD8">
    <cfRule type="cellIs" dxfId="1" priority="1" operator="greaterThan">
      <formula>$AF7</formula>
    </cfRule>
    <cfRule type="cellIs" dxfId="0" priority="2" operator="lessThan">
      <formula>$AG7</formula>
    </cfRule>
  </conditionalFormatting>
  <pageMargins left="0.7" right="0.7" top="0.75" bottom="0.75" header="0.3" footer="0.3"/>
  <pageSetup paperSize="9" orientation="portrait" verticalDpi="4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5"/>
  <sheetViews>
    <sheetView workbookViewId="0">
      <selection activeCell="K16" sqref="K16"/>
    </sheetView>
  </sheetViews>
  <sheetFormatPr baseColWidth="10" defaultRowHeight="15" x14ac:dyDescent="0.25"/>
  <sheetData>
    <row r="1" spans="1:10" s="1" customFormat="1" ht="12.75" x14ac:dyDescent="0.2"/>
    <row r="2" spans="1:10" s="1" customFormat="1" ht="15.75" x14ac:dyDescent="0.25">
      <c r="A2" s="1" t="s">
        <v>0</v>
      </c>
      <c r="B2" s="582" t="str">
        <f>'[3]F 1 _ Echant et Séchage'!D5</f>
        <v>IVR-E15-PB-BAN</v>
      </c>
      <c r="C2" s="582"/>
      <c r="D2" s="582"/>
      <c r="E2" s="582"/>
      <c r="F2" s="582"/>
      <c r="G2" s="2"/>
      <c r="H2" s="2"/>
      <c r="I2" s="2"/>
      <c r="J2" s="2"/>
    </row>
    <row r="3" spans="1:10" s="1" customFormat="1" ht="12.75" x14ac:dyDescent="0.2">
      <c r="A3" s="1" t="s">
        <v>1</v>
      </c>
      <c r="B3" s="589" t="str">
        <f>'[3]F 1 _ Echant et Séchage'!D6</f>
        <v>DJ 740 PY - IVRY-SUR-SEINE</v>
      </c>
      <c r="C3" s="589"/>
      <c r="D3" s="589"/>
      <c r="E3" s="589"/>
      <c r="F3" s="589"/>
      <c r="G3" s="3"/>
      <c r="H3" s="3"/>
      <c r="I3" s="3"/>
      <c r="J3" s="3"/>
    </row>
    <row r="4" spans="1:10" s="1" customFormat="1" ht="12.75" x14ac:dyDescent="0.2">
      <c r="A4" s="1" t="s">
        <v>2</v>
      </c>
      <c r="B4" s="249"/>
      <c r="C4" s="249" t="str">
        <f>'[3]F 1 _ Echant et Séchage'!D8</f>
        <v>IVRY</v>
      </c>
      <c r="D4" s="249"/>
      <c r="E4" s="249"/>
      <c r="F4" s="249"/>
      <c r="G4" s="3"/>
      <c r="H4" s="3"/>
      <c r="I4" s="3"/>
      <c r="J4" s="3"/>
    </row>
    <row r="5" spans="1:10" s="1" customFormat="1" ht="12.75" x14ac:dyDescent="0.2">
      <c r="A5" s="1" t="s">
        <v>3</v>
      </c>
      <c r="B5" s="249"/>
      <c r="C5" s="249" t="str">
        <f>'[3]F 1 _ Echant et Séchage'!E15</f>
        <v>sec, nuageux</v>
      </c>
      <c r="D5" s="249"/>
      <c r="E5" s="249"/>
      <c r="F5" s="249"/>
      <c r="G5" s="3"/>
      <c r="H5" s="3"/>
      <c r="I5" s="3"/>
      <c r="J5" s="3"/>
    </row>
    <row r="6" spans="1:10" s="1" customFormat="1" ht="12.75" customHeight="1" x14ac:dyDescent="0.2"/>
    <row r="7" spans="1:10" s="1" customFormat="1" ht="18.75" customHeight="1" x14ac:dyDescent="0.2">
      <c r="A7" s="584" t="s">
        <v>4</v>
      </c>
      <c r="B7" s="584"/>
      <c r="C7" s="584"/>
      <c r="D7" s="584"/>
      <c r="E7" s="584"/>
      <c r="F7" s="584"/>
      <c r="G7" s="584"/>
      <c r="H7" s="584"/>
      <c r="I7" s="584"/>
      <c r="J7" s="584"/>
    </row>
    <row r="8" spans="1:10" s="1" customFormat="1" ht="12.75" x14ac:dyDescent="0.2">
      <c r="I8" s="4"/>
    </row>
    <row r="9" spans="1:10" s="1" customFormat="1" ht="12.75" x14ac:dyDescent="0.2">
      <c r="A9" s="1" t="s">
        <v>5</v>
      </c>
      <c r="B9" s="5">
        <f>'[3]F 1 _ Echant et Séchage'!B12</f>
        <v>42193</v>
      </c>
      <c r="D9" s="583" t="s">
        <v>6</v>
      </c>
      <c r="E9" s="583"/>
      <c r="F9" s="583"/>
      <c r="G9" s="6">
        <f>'[3]F 1 _ Echant et Séchage'!G19</f>
        <v>125.65</v>
      </c>
      <c r="H9" s="6"/>
      <c r="I9" s="7"/>
      <c r="J9" s="1" t="s">
        <v>7</v>
      </c>
    </row>
    <row r="10" spans="1:10" s="1" customFormat="1" ht="12.75" x14ac:dyDescent="0.2">
      <c r="A10" s="1" t="s">
        <v>8</v>
      </c>
      <c r="B10" s="8" t="str">
        <f>'[3]F 1 _ Echant et Séchage'!E12</f>
        <v>19H10</v>
      </c>
      <c r="D10" s="583" t="s">
        <v>9</v>
      </c>
      <c r="E10" s="583"/>
      <c r="F10" s="583"/>
      <c r="G10" s="249">
        <f>'[3]F 1 _ Echant et Séchage'!H26</f>
        <v>0.4</v>
      </c>
      <c r="H10" s="249"/>
      <c r="I10" s="9"/>
      <c r="J10" s="1" t="s">
        <v>10</v>
      </c>
    </row>
    <row r="11" spans="1:10" s="1" customFormat="1" ht="12.75" x14ac:dyDescent="0.2">
      <c r="B11" s="583"/>
      <c r="C11" s="583"/>
      <c r="D11" s="583" t="s">
        <v>11</v>
      </c>
      <c r="E11" s="583"/>
      <c r="F11" s="583"/>
      <c r="G11" s="10">
        <f>G9/1000/G10</f>
        <v>0.31412499999999999</v>
      </c>
      <c r="H11" s="10"/>
      <c r="I11" s="3"/>
      <c r="J11" s="3" t="s">
        <v>12</v>
      </c>
    </row>
    <row r="12" spans="1:10" s="1" customFormat="1" ht="12.75" x14ac:dyDescent="0.2">
      <c r="B12" s="7"/>
      <c r="D12" s="583" t="s">
        <v>13</v>
      </c>
      <c r="E12" s="583"/>
      <c r="F12" s="583"/>
      <c r="G12" s="236">
        <f>'[3]F 1 _ Echant et Séchage'!D51</f>
        <v>0.35286112216474347</v>
      </c>
      <c r="H12" s="11"/>
      <c r="I12" s="11"/>
    </row>
    <row r="13" spans="1:10" s="1" customFormat="1" ht="12.75" x14ac:dyDescent="0.2">
      <c r="B13" s="12"/>
      <c r="G13" s="234"/>
      <c r="H13" s="234"/>
      <c r="I13" s="234"/>
    </row>
    <row r="14" spans="1:10" s="1" customFormat="1" ht="18.75" customHeight="1" x14ac:dyDescent="0.2">
      <c r="A14" s="584" t="s">
        <v>14</v>
      </c>
      <c r="B14" s="584"/>
      <c r="C14" s="584"/>
      <c r="D14" s="584"/>
      <c r="E14" s="584"/>
      <c r="F14" s="584"/>
      <c r="G14" s="584"/>
      <c r="H14" s="584"/>
      <c r="I14" s="584"/>
      <c r="J14" s="584"/>
    </row>
    <row r="15" spans="1:10" s="1" customFormat="1" ht="15.75" customHeight="1" x14ac:dyDescent="0.2">
      <c r="A15" s="13"/>
      <c r="B15" s="13"/>
      <c r="C15" s="13"/>
      <c r="D15" s="13"/>
      <c r="E15" s="13"/>
      <c r="F15" s="13"/>
      <c r="G15" s="13"/>
      <c r="H15" s="13"/>
      <c r="I15" s="13"/>
      <c r="J15" s="13"/>
    </row>
    <row r="16" spans="1:10" s="1" customFormat="1" ht="27.75" customHeight="1" thickBot="1" x14ac:dyDescent="0.25">
      <c r="C16" s="14" t="s">
        <v>15</v>
      </c>
      <c r="D16" s="15"/>
      <c r="E16" s="15"/>
      <c r="F16" s="15"/>
      <c r="G16" s="585" t="s">
        <v>16</v>
      </c>
      <c r="H16" s="587" t="s">
        <v>17</v>
      </c>
      <c r="I16" s="585" t="s">
        <v>18</v>
      </c>
      <c r="J16" s="587" t="s">
        <v>19</v>
      </c>
    </row>
    <row r="17" spans="1:10" s="1" customFormat="1" ht="29.25" customHeight="1" thickBot="1" x14ac:dyDescent="0.25">
      <c r="A17" s="138" t="s">
        <v>20</v>
      </c>
      <c r="B17" s="139" t="s">
        <v>21</v>
      </c>
      <c r="C17" s="16" t="s">
        <v>22</v>
      </c>
      <c r="D17" s="16" t="s">
        <v>23</v>
      </c>
      <c r="E17" s="16" t="s">
        <v>24</v>
      </c>
      <c r="F17" s="17" t="s">
        <v>25</v>
      </c>
      <c r="G17" s="586"/>
      <c r="H17" s="588"/>
      <c r="I17" s="586"/>
      <c r="J17" s="588"/>
    </row>
    <row r="18" spans="1:10" s="1" customFormat="1" ht="15" customHeight="1" x14ac:dyDescent="0.2">
      <c r="A18" s="579" t="s">
        <v>26</v>
      </c>
      <c r="B18" s="18" t="s">
        <v>119</v>
      </c>
      <c r="C18" s="19">
        <f>'[3]F 4 TRI _ Granulo'!K5</f>
        <v>4.7447709923664165</v>
      </c>
      <c r="D18" s="20">
        <f>'[3]F 4 TRI _ Granulo'!H5</f>
        <v>0.31000000000000005</v>
      </c>
      <c r="E18" s="20">
        <f>'[3]F 4 TRI _ Granulo'!E5</f>
        <v>0</v>
      </c>
      <c r="F18" s="20">
        <f>SUM(C18:E18)</f>
        <v>5.0547709923664161</v>
      </c>
      <c r="G18" s="21">
        <f t="shared" ref="G18:G64" si="0">F18/$F$64</f>
        <v>6.0252282976222135E-2</v>
      </c>
      <c r="H18" s="21">
        <f>G18*J18/I18</f>
        <v>0.12027097601071632</v>
      </c>
      <c r="I18" s="578">
        <f>G18+G19+G20+G21+G22</f>
        <v>0.16736654279693255</v>
      </c>
      <c r="J18" s="578">
        <f>'[3]Calcul sous cat &gt;20'!N8/100</f>
        <v>0.33408422817223721</v>
      </c>
    </row>
    <row r="19" spans="1:10" s="1" customFormat="1" ht="15" customHeight="1" x14ac:dyDescent="0.2">
      <c r="A19" s="580"/>
      <c r="B19" s="18" t="s">
        <v>27</v>
      </c>
      <c r="C19" s="19">
        <f>'[3]F 4 TRI _ Granulo'!K6</f>
        <v>8.4440839694656535</v>
      </c>
      <c r="D19" s="20">
        <f>'[3]F 4 TRI _ Granulo'!H6</f>
        <v>1.0000000000000009E-2</v>
      </c>
      <c r="E19" s="20">
        <f>'[3]F 4 TRI _ Granulo'!E6</f>
        <v>0</v>
      </c>
      <c r="F19" s="20">
        <f>SUM(C19:E19)</f>
        <v>8.4540839694656533</v>
      </c>
      <c r="G19" s="21">
        <f t="shared" si="0"/>
        <v>0.10077169873813017</v>
      </c>
      <c r="H19" s="21">
        <f>G19*J18/I18</f>
        <v>0.20115271924676723</v>
      </c>
      <c r="I19" s="578"/>
      <c r="J19" s="578"/>
    </row>
    <row r="20" spans="1:10" s="1" customFormat="1" ht="15" customHeight="1" x14ac:dyDescent="0.2">
      <c r="A20" s="580"/>
      <c r="B20" s="18" t="s">
        <v>28</v>
      </c>
      <c r="C20" s="19">
        <f>'[3]F 4 TRI _ Granulo'!K7</f>
        <v>0</v>
      </c>
      <c r="D20" s="20">
        <f>'[3]F 4 TRI _ Granulo'!H7</f>
        <v>0</v>
      </c>
      <c r="E20" s="20">
        <f>'[3]F 4 TRI _ Granulo'!E7</f>
        <v>0</v>
      </c>
      <c r="F20" s="20">
        <f t="shared" ref="F20:F62" si="1">SUM(C20:E20)</f>
        <v>0</v>
      </c>
      <c r="G20" s="21">
        <f t="shared" si="0"/>
        <v>0</v>
      </c>
      <c r="H20" s="21">
        <f>G20*J18/I18</f>
        <v>0</v>
      </c>
      <c r="I20" s="578"/>
      <c r="J20" s="578"/>
    </row>
    <row r="21" spans="1:10" s="1" customFormat="1" ht="15" customHeight="1" x14ac:dyDescent="0.2">
      <c r="A21" s="580"/>
      <c r="B21" s="18" t="s">
        <v>29</v>
      </c>
      <c r="C21" s="19">
        <f>'[3]F 4 TRI _ Granulo'!K8</f>
        <v>0</v>
      </c>
      <c r="D21" s="20">
        <f>'[3]F 4 TRI _ Granulo'!H8</f>
        <v>0.13000000000000012</v>
      </c>
      <c r="E21" s="20">
        <f>'[3]F 4 TRI _ Granulo'!E8</f>
        <v>0</v>
      </c>
      <c r="F21" s="20">
        <f t="shared" si="1"/>
        <v>0.13000000000000012</v>
      </c>
      <c r="G21" s="21">
        <f t="shared" si="0"/>
        <v>1.5495848968702579E-3</v>
      </c>
      <c r="H21" s="21">
        <f>G21*J18/I18</f>
        <v>3.0931622629403084E-3</v>
      </c>
      <c r="I21" s="578"/>
      <c r="J21" s="578"/>
    </row>
    <row r="22" spans="1:10" s="1" customFormat="1" ht="15" customHeight="1" x14ac:dyDescent="0.2">
      <c r="A22" s="581"/>
      <c r="B22" s="18" t="s">
        <v>30</v>
      </c>
      <c r="C22" s="19">
        <f>'[3]F 4 TRI _ Granulo'!K9</f>
        <v>0.40209923664122188</v>
      </c>
      <c r="D22" s="20">
        <f>'[3]F 4 TRI _ Granulo'!H9</f>
        <v>0</v>
      </c>
      <c r="E22" s="20">
        <f>'[3]F 4 TRI _ Granulo'!E9</f>
        <v>0</v>
      </c>
      <c r="F22" s="20">
        <f t="shared" si="1"/>
        <v>0.40209923664122188</v>
      </c>
      <c r="G22" s="21">
        <f t="shared" si="0"/>
        <v>4.7929761857099743E-3</v>
      </c>
      <c r="H22" s="21">
        <f>G22*J18/I18</f>
        <v>9.5673706518133173E-3</v>
      </c>
      <c r="I22" s="578"/>
      <c r="J22" s="578"/>
    </row>
    <row r="23" spans="1:10" s="1" customFormat="1" ht="15" customHeight="1" x14ac:dyDescent="0.2">
      <c r="A23" s="567" t="s">
        <v>31</v>
      </c>
      <c r="B23" s="18" t="s">
        <v>32</v>
      </c>
      <c r="C23" s="19">
        <f>'[3]F 4 TRI _ Granulo'!K10</f>
        <v>0.56293893129771067</v>
      </c>
      <c r="D23" s="20">
        <f>'[3]F 4 TRI _ Granulo'!H10</f>
        <v>0.43000000000000016</v>
      </c>
      <c r="E23" s="20">
        <f>'[3]F 4 TRI _ Granulo'!E10</f>
        <v>0</v>
      </c>
      <c r="F23" s="20">
        <f t="shared" si="1"/>
        <v>0.99293893129771083</v>
      </c>
      <c r="G23" s="21">
        <f t="shared" si="0"/>
        <v>1.1835716703487893E-2</v>
      </c>
      <c r="H23" s="21">
        <f>'[3]Calcul sous cat &gt;20'!N32/100</f>
        <v>9.9198903727027218E-3</v>
      </c>
      <c r="I23" s="571">
        <f>G23+G24+G25+G26+G27</f>
        <v>0.11164108592871365</v>
      </c>
      <c r="J23" s="571">
        <f>'[3]Calcul sous cat &gt;20'!N9/100</f>
        <v>9.1236061786508352E-2</v>
      </c>
    </row>
    <row r="24" spans="1:10" s="1" customFormat="1" ht="15" customHeight="1" x14ac:dyDescent="0.2">
      <c r="A24" s="568"/>
      <c r="B24" s="18" t="s">
        <v>33</v>
      </c>
      <c r="C24" s="19">
        <f>'[3]F 4 TRI _ Granulo'!K11</f>
        <v>0</v>
      </c>
      <c r="D24" s="20">
        <f>'[3]F 4 TRI _ Granulo'!H11</f>
        <v>3.61</v>
      </c>
      <c r="E24" s="20">
        <f>'[3]F 4 TRI _ Granulo'!E11</f>
        <v>0</v>
      </c>
      <c r="F24" s="20">
        <f t="shared" si="1"/>
        <v>3.61</v>
      </c>
      <c r="G24" s="21">
        <f t="shared" si="0"/>
        <v>4.3030780597704814E-2</v>
      </c>
      <c r="H24" s="21">
        <f>'[3]Calcul sous cat &gt;20'!N33/100</f>
        <v>3.4803459236226422E-2</v>
      </c>
      <c r="I24" s="571"/>
      <c r="J24" s="571"/>
    </row>
    <row r="25" spans="1:10" s="1" customFormat="1" ht="15" customHeight="1" x14ac:dyDescent="0.2">
      <c r="A25" s="568"/>
      <c r="B25" s="18" t="s">
        <v>34</v>
      </c>
      <c r="C25" s="19">
        <f>'[3]F 4 TRI _ Granulo'!K12</f>
        <v>0.56293893129771067</v>
      </c>
      <c r="D25" s="20">
        <f>'[3]F 4 TRI _ Granulo'!H12</f>
        <v>0.27</v>
      </c>
      <c r="E25" s="20">
        <f>'[3]F 4 TRI _ Granulo'!E12</f>
        <v>0</v>
      </c>
      <c r="F25" s="20">
        <f t="shared" si="1"/>
        <v>0.83293893129771068</v>
      </c>
      <c r="G25" s="21">
        <f t="shared" si="0"/>
        <v>9.9285352919552677E-3</v>
      </c>
      <c r="H25" s="21">
        <f>'[3]Calcul sous cat &gt;20'!N34/100</f>
        <v>8.0302371583617395E-3</v>
      </c>
      <c r="I25" s="571"/>
      <c r="J25" s="571"/>
    </row>
    <row r="26" spans="1:10" s="1" customFormat="1" ht="15" customHeight="1" x14ac:dyDescent="0.2">
      <c r="A26" s="568"/>
      <c r="B26" s="18" t="s">
        <v>35</v>
      </c>
      <c r="C26" s="19">
        <f>'[3]F 4 TRI _ Granulo'!K13</f>
        <v>0.88461832061068812</v>
      </c>
      <c r="D26" s="20">
        <f>'[3]F 4 TRI _ Granulo'!H13</f>
        <v>1.9500000000000002</v>
      </c>
      <c r="E26" s="20">
        <f>'[3]F 4 TRI _ Granulo'!E13</f>
        <v>0</v>
      </c>
      <c r="F26" s="20">
        <f t="shared" si="1"/>
        <v>2.8346183206106881</v>
      </c>
      <c r="G26" s="21">
        <f t="shared" si="0"/>
        <v>3.3788321061615792E-2</v>
      </c>
      <c r="H26" s="21">
        <f>'[3]Calcul sous cat &gt;20'!N35/100</f>
        <v>2.7591977867788046E-2</v>
      </c>
      <c r="I26" s="571"/>
      <c r="J26" s="571"/>
    </row>
    <row r="27" spans="1:10" s="1" customFormat="1" ht="15" customHeight="1" x14ac:dyDescent="0.2">
      <c r="A27" s="570"/>
      <c r="B27" s="18" t="s">
        <v>36</v>
      </c>
      <c r="C27" s="19">
        <f>'[3]F 4 TRI _ Granulo'!K14</f>
        <v>1.0454580152671769</v>
      </c>
      <c r="D27" s="20">
        <f>'[3]F 4 TRI _ Granulo'!H14</f>
        <v>5.0000000000000044E-2</v>
      </c>
      <c r="E27" s="20">
        <f>'[3]F 4 TRI _ Granulo'!E14</f>
        <v>0</v>
      </c>
      <c r="F27" s="20">
        <f t="shared" si="1"/>
        <v>1.0954580152671769</v>
      </c>
      <c r="G27" s="21">
        <f t="shared" si="0"/>
        <v>1.3057732273949879E-2</v>
      </c>
      <c r="H27" s="21">
        <f>'[3]Calcul sous cat &gt;20'!N36/100</f>
        <v>1.0890497151429429E-2</v>
      </c>
      <c r="I27" s="571"/>
      <c r="J27" s="571"/>
    </row>
    <row r="28" spans="1:10" s="1" customFormat="1" ht="15" customHeight="1" x14ac:dyDescent="0.2">
      <c r="A28" s="567" t="s">
        <v>37</v>
      </c>
      <c r="B28" s="18" t="s">
        <v>38</v>
      </c>
      <c r="C28" s="19">
        <f>'[3]F 4 TRI _ Granulo'!K15</f>
        <v>2.4930152671755739</v>
      </c>
      <c r="D28" s="20">
        <f>'[3]F 4 TRI _ Granulo'!H15</f>
        <v>1.31</v>
      </c>
      <c r="E28" s="20">
        <f>'[3]F 4 TRI _ Granulo'!E15</f>
        <v>0</v>
      </c>
      <c r="F28" s="20">
        <f t="shared" si="1"/>
        <v>3.8030152671755739</v>
      </c>
      <c r="G28" s="21">
        <f t="shared" si="0"/>
        <v>4.5331500158325176E-2</v>
      </c>
      <c r="H28" s="21">
        <f>'[3]Calcul sous cat &gt;20'!N37/100</f>
        <v>3.6966440130892071E-2</v>
      </c>
      <c r="I28" s="571">
        <f>G28+G29+G30</f>
        <v>0.10877030474866332</v>
      </c>
      <c r="J28" s="571">
        <f>'[3]Calcul sous cat &gt;20'!N10/100</f>
        <v>8.8901348466412719E-2</v>
      </c>
    </row>
    <row r="29" spans="1:10" s="1" customFormat="1" ht="15" customHeight="1" x14ac:dyDescent="0.2">
      <c r="A29" s="568"/>
      <c r="B29" s="18" t="s">
        <v>39</v>
      </c>
      <c r="C29" s="19">
        <f>'[3]F 4 TRI _ Granulo'!K16</f>
        <v>0</v>
      </c>
      <c r="D29" s="20">
        <f>'[3]F 4 TRI _ Granulo'!H16</f>
        <v>0.99000000000000021</v>
      </c>
      <c r="E29" s="20">
        <f>'[3]F 4 TRI _ Granulo'!E16</f>
        <v>3.66</v>
      </c>
      <c r="F29" s="20">
        <f t="shared" si="1"/>
        <v>4.6500000000000004</v>
      </c>
      <c r="G29" s="21">
        <f t="shared" si="0"/>
        <v>5.5427459772666873E-2</v>
      </c>
      <c r="H29" s="21">
        <f>'[3]Calcul sous cat &gt;20'!N38/100</f>
        <v>4.5262290630431377E-2</v>
      </c>
      <c r="I29" s="571"/>
      <c r="J29" s="571"/>
    </row>
    <row r="30" spans="1:10" s="1" customFormat="1" ht="15" customHeight="1" x14ac:dyDescent="0.2">
      <c r="A30" s="570"/>
      <c r="B30" s="18" t="s">
        <v>40</v>
      </c>
      <c r="C30" s="19">
        <f>'[3]F 4 TRI _ Granulo'!K17</f>
        <v>0.40209923664122188</v>
      </c>
      <c r="D30" s="20">
        <f>'[3]F 4 TRI _ Granulo'!H17</f>
        <v>0.21000000000000019</v>
      </c>
      <c r="E30" s="20">
        <f>'[3]F 4 TRI _ Granulo'!E17</f>
        <v>6.0000000000000053E-2</v>
      </c>
      <c r="F30" s="20">
        <f t="shared" si="1"/>
        <v>0.67209923664122218</v>
      </c>
      <c r="G30" s="21">
        <f t="shared" si="0"/>
        <v>8.0113448176712797E-3</v>
      </c>
      <c r="H30" s="21">
        <f>'[3]Calcul sous cat &gt;20'!N39/100</f>
        <v>6.6726177050892834E-3</v>
      </c>
      <c r="I30" s="571"/>
      <c r="J30" s="571"/>
    </row>
    <row r="31" spans="1:10" s="1" customFormat="1" ht="15" customHeight="1" x14ac:dyDescent="0.2">
      <c r="A31" s="572" t="s">
        <v>41</v>
      </c>
      <c r="B31" s="18" t="s">
        <v>42</v>
      </c>
      <c r="C31" s="19">
        <f>'[3]F 4 TRI _ Granulo'!K18</f>
        <v>0</v>
      </c>
      <c r="D31" s="20">
        <f>'[3]F 4 TRI _ Granulo'!H18</f>
        <v>0.35000000000000009</v>
      </c>
      <c r="E31" s="20">
        <f>'[3]F 4 TRI _ Granulo'!E18</f>
        <v>0</v>
      </c>
      <c r="F31" s="20">
        <f t="shared" si="1"/>
        <v>0.35000000000000009</v>
      </c>
      <c r="G31" s="21">
        <f t="shared" si="0"/>
        <v>4.1719593377276152E-3</v>
      </c>
      <c r="H31" s="243">
        <f>G31*J31/I31</f>
        <v>4.2918141437901011E-3</v>
      </c>
      <c r="I31" s="575">
        <f>G31+G32+G33+G34</f>
        <v>1.5540889751083718E-2</v>
      </c>
      <c r="J31" s="575">
        <f>'[3]Calcul sous cat &gt;20'!N11/100</f>
        <v>1.5987358706404161E-2</v>
      </c>
    </row>
    <row r="32" spans="1:10" s="1" customFormat="1" ht="15" customHeight="1" x14ac:dyDescent="0.2">
      <c r="A32" s="573"/>
      <c r="B32" s="18" t="s">
        <v>43</v>
      </c>
      <c r="C32" s="19">
        <f>'[3]F 4 TRI _ Granulo'!K19</f>
        <v>0.72377862595419939</v>
      </c>
      <c r="D32" s="20">
        <f>'[3]F 4 TRI _ Granulo'!H19</f>
        <v>0.17000000000000015</v>
      </c>
      <c r="E32" s="20">
        <f>'[3]F 4 TRI _ Granulo'!E19</f>
        <v>6.0000000000000053E-2</v>
      </c>
      <c r="F32" s="20">
        <f t="shared" si="1"/>
        <v>0.9537786259541996</v>
      </c>
      <c r="G32" s="21">
        <f t="shared" si="0"/>
        <v>1.1368930413356102E-2</v>
      </c>
      <c r="H32" s="243">
        <f>G32*J31/I31</f>
        <v>1.1695544562614058E-2</v>
      </c>
      <c r="I32" s="576"/>
      <c r="J32" s="576"/>
    </row>
    <row r="33" spans="1:10" s="1" customFormat="1" ht="15" customHeight="1" x14ac:dyDescent="0.2">
      <c r="A33" s="573"/>
      <c r="B33" s="18" t="s">
        <v>44</v>
      </c>
      <c r="C33" s="19">
        <f>'[3]F 4 TRI _ Granulo'!K20</f>
        <v>0</v>
      </c>
      <c r="D33" s="20">
        <f>'[3]F 4 TRI _ Granulo'!H20</f>
        <v>0</v>
      </c>
      <c r="E33" s="20">
        <f>'[3]F 4 TRI _ Granulo'!E20</f>
        <v>0</v>
      </c>
      <c r="F33" s="20">
        <f t="shared" si="1"/>
        <v>0</v>
      </c>
      <c r="G33" s="21">
        <f t="shared" si="0"/>
        <v>0</v>
      </c>
      <c r="H33" s="175">
        <f>G33*J31/I31</f>
        <v>0</v>
      </c>
      <c r="I33" s="576"/>
      <c r="J33" s="576"/>
    </row>
    <row r="34" spans="1:10" s="1" customFormat="1" ht="15" customHeight="1" x14ac:dyDescent="0.2">
      <c r="A34" s="574"/>
      <c r="B34" s="18" t="s">
        <v>120</v>
      </c>
      <c r="C34" s="19">
        <f>'[3]F 4 TRI _ Granulo'!K21</f>
        <v>0</v>
      </c>
      <c r="D34" s="20">
        <f>'[3]F 4 TRI _ Granulo'!H21</f>
        <v>0</v>
      </c>
      <c r="E34" s="20">
        <f>'[3]F 4 TRI _ Granulo'!E21</f>
        <v>0</v>
      </c>
      <c r="F34" s="20">
        <f t="shared" si="1"/>
        <v>0</v>
      </c>
      <c r="G34" s="21">
        <f t="shared" si="0"/>
        <v>0</v>
      </c>
      <c r="H34" s="175">
        <f>G34*J31/I31</f>
        <v>0</v>
      </c>
      <c r="I34" s="577"/>
      <c r="J34" s="577"/>
    </row>
    <row r="35" spans="1:10" s="1" customFormat="1" ht="15" customHeight="1" x14ac:dyDescent="0.2">
      <c r="A35" s="245" t="s">
        <v>45</v>
      </c>
      <c r="B35" s="18" t="s">
        <v>46</v>
      </c>
      <c r="C35" s="19">
        <f>'[3]F 4 TRI _ Granulo'!K22</f>
        <v>1.0454580152671769</v>
      </c>
      <c r="D35" s="20">
        <f>'[3]F 4 TRI _ Granulo'!H22</f>
        <v>1.31</v>
      </c>
      <c r="E35" s="20">
        <f>'[3]F 4 TRI _ Granulo'!E22</f>
        <v>0</v>
      </c>
      <c r="F35" s="20">
        <f t="shared" si="1"/>
        <v>2.3554580152671769</v>
      </c>
      <c r="G35" s="21">
        <f t="shared" si="0"/>
        <v>2.8076785889769289E-2</v>
      </c>
      <c r="H35" s="21">
        <f>'[3]Calcul sous cat &gt;20'!N43/100</f>
        <v>2.2928079103186443E-2</v>
      </c>
      <c r="I35" s="246">
        <f>G35</f>
        <v>2.8076785889769289E-2</v>
      </c>
      <c r="J35" s="246">
        <f>'[3]Calcul sous cat &gt;20'!N12/100</f>
        <v>2.2928079103186443E-2</v>
      </c>
    </row>
    <row r="36" spans="1:10" s="1" customFormat="1" ht="15" customHeight="1" x14ac:dyDescent="0.2">
      <c r="A36" s="567" t="s">
        <v>47</v>
      </c>
      <c r="B36" s="18" t="s">
        <v>48</v>
      </c>
      <c r="C36" s="19">
        <f>'[3]F 4 TRI _ Granulo'!K23</f>
        <v>0.72377862595419939</v>
      </c>
      <c r="D36" s="20">
        <f>'[3]F 4 TRI _ Granulo'!H23</f>
        <v>0</v>
      </c>
      <c r="E36" s="20">
        <f>'[3]F 4 TRI _ Granulo'!E23</f>
        <v>0</v>
      </c>
      <c r="F36" s="20">
        <f t="shared" si="1"/>
        <v>0.72377862595419939</v>
      </c>
      <c r="G36" s="21">
        <f t="shared" si="0"/>
        <v>8.6273571342779538E-3</v>
      </c>
      <c r="H36" s="21">
        <f>'[3]Calcul sous cat &gt;20'!N44/100</f>
        <v>7.3960116876796269E-3</v>
      </c>
      <c r="I36" s="571">
        <f>G36+G37</f>
        <v>8.733635182401521E-2</v>
      </c>
      <c r="J36" s="571">
        <f>'[3]Calcul sous cat &gt;20'!N13/100</f>
        <v>7.3355347049018263E-2</v>
      </c>
    </row>
    <row r="37" spans="1:10" s="1" customFormat="1" ht="15" customHeight="1" x14ac:dyDescent="0.2">
      <c r="A37" s="570"/>
      <c r="B37" s="18" t="s">
        <v>49</v>
      </c>
      <c r="C37" s="19">
        <f>'[3]F 4 TRI _ Granulo'!K24</f>
        <v>6.3531679389312998</v>
      </c>
      <c r="D37" s="20">
        <f>'[3]F 4 TRI _ Granulo'!H24</f>
        <v>0.25</v>
      </c>
      <c r="E37" s="20">
        <f>'[3]F 4 TRI _ Granulo'!E24</f>
        <v>0</v>
      </c>
      <c r="F37" s="20">
        <f t="shared" si="1"/>
        <v>6.6031679389312998</v>
      </c>
      <c r="G37" s="21">
        <f t="shared" si="0"/>
        <v>7.8708994689737258E-2</v>
      </c>
      <c r="H37" s="21">
        <f>'[3]Calcul sous cat &gt;20'!N45/100</f>
        <v>6.5959335361338634E-2</v>
      </c>
      <c r="I37" s="571"/>
      <c r="J37" s="571"/>
    </row>
    <row r="38" spans="1:10" s="1" customFormat="1" ht="15" customHeight="1" x14ac:dyDescent="0.2">
      <c r="A38" s="567" t="s">
        <v>50</v>
      </c>
      <c r="B38" s="18" t="s">
        <v>51</v>
      </c>
      <c r="C38" s="19">
        <f>'[3]F 4 TRI _ Granulo'!K25</f>
        <v>2.3321755725190854</v>
      </c>
      <c r="D38" s="20">
        <f>'[3]F 4 TRI _ Granulo'!H25</f>
        <v>4.5300000000000011</v>
      </c>
      <c r="E38" s="20">
        <f>'[3]F 4 TRI _ Granulo'!E25</f>
        <v>0</v>
      </c>
      <c r="F38" s="20">
        <f t="shared" si="1"/>
        <v>6.8621755725190869</v>
      </c>
      <c r="G38" s="21">
        <f t="shared" si="0"/>
        <v>8.179633559113525E-2</v>
      </c>
      <c r="H38" s="21">
        <f>'[3]Calcul sous cat &gt;20'!N46/100</f>
        <v>7.7524821274637501E-2</v>
      </c>
      <c r="I38" s="571">
        <f>G38+G39+G40+G41+G42</f>
        <v>0.18359896779265594</v>
      </c>
      <c r="J38" s="571">
        <f>'[3]Calcul sous cat &gt;20'!N14/100</f>
        <v>0.16915924737464447</v>
      </c>
    </row>
    <row r="39" spans="1:10" s="1" customFormat="1" ht="15" customHeight="1" x14ac:dyDescent="0.2">
      <c r="A39" s="568"/>
      <c r="B39" s="18" t="s">
        <v>52</v>
      </c>
      <c r="C39" s="19">
        <f>'[3]F 4 TRI _ Granulo'!K26</f>
        <v>0.88461832061068812</v>
      </c>
      <c r="D39" s="20">
        <f>'[3]F 4 TRI _ Granulo'!H26</f>
        <v>2.2500000000000009</v>
      </c>
      <c r="E39" s="20">
        <f>'[3]F 4 TRI _ Granulo'!E26</f>
        <v>0</v>
      </c>
      <c r="F39" s="20">
        <f t="shared" si="1"/>
        <v>3.1346183206106888</v>
      </c>
      <c r="G39" s="21">
        <f t="shared" si="0"/>
        <v>3.7364286208239471E-2</v>
      </c>
      <c r="H39" s="21">
        <f>'[3]Calcul sous cat &gt;20'!N47/100</f>
        <v>3.1629971818291455E-2</v>
      </c>
      <c r="I39" s="571"/>
      <c r="J39" s="571"/>
    </row>
    <row r="40" spans="1:10" s="1" customFormat="1" ht="15" customHeight="1" x14ac:dyDescent="0.2">
      <c r="A40" s="568"/>
      <c r="B40" s="18" t="s">
        <v>53</v>
      </c>
      <c r="C40" s="19">
        <f>'[3]F 4 TRI _ Granulo'!K27</f>
        <v>0</v>
      </c>
      <c r="D40" s="20">
        <f>'[3]F 4 TRI _ Granulo'!H27</f>
        <v>0.51000000000000023</v>
      </c>
      <c r="E40" s="20">
        <f>'[3]F 4 TRI _ Granulo'!E27</f>
        <v>0.3400000000000003</v>
      </c>
      <c r="F40" s="20">
        <f t="shared" si="1"/>
        <v>0.85000000000000053</v>
      </c>
      <c r="G40" s="21">
        <f t="shared" si="0"/>
        <v>1.0131901248767068E-2</v>
      </c>
      <c r="H40" s="21">
        <f>'[3]Calcul sous cat &gt;20'!N48/100</f>
        <v>8.5745621990511185E-3</v>
      </c>
      <c r="I40" s="571"/>
      <c r="J40" s="571"/>
    </row>
    <row r="41" spans="1:10" s="1" customFormat="1" ht="15" customHeight="1" x14ac:dyDescent="0.2">
      <c r="A41" s="568"/>
      <c r="B41" s="18" t="s">
        <v>54</v>
      </c>
      <c r="C41" s="19">
        <f>'[3]F 4 TRI _ Granulo'!K28</f>
        <v>1.6888167938931318</v>
      </c>
      <c r="D41" s="20">
        <f>'[3]F 4 TRI _ Granulo'!H28</f>
        <v>0.51000000000000023</v>
      </c>
      <c r="E41" s="20">
        <f>'[3]F 4 TRI _ Granulo'!E28</f>
        <v>0</v>
      </c>
      <c r="F41" s="20">
        <f t="shared" si="1"/>
        <v>2.198816793893132</v>
      </c>
      <c r="G41" s="21">
        <f t="shared" si="0"/>
        <v>2.6209640729242131E-2</v>
      </c>
      <c r="H41" s="21">
        <f>'[3]Calcul sous cat &gt;20'!N49/100</f>
        <v>2.4819044349902925E-2</v>
      </c>
      <c r="I41" s="571"/>
      <c r="J41" s="571"/>
    </row>
    <row r="42" spans="1:10" s="1" customFormat="1" ht="27" customHeight="1" x14ac:dyDescent="0.2">
      <c r="A42" s="570"/>
      <c r="B42" s="18" t="s">
        <v>55</v>
      </c>
      <c r="C42" s="19">
        <f>'[3]F 4 TRI _ Granulo'!K29</f>
        <v>1.3671374045801543</v>
      </c>
      <c r="D42" s="20">
        <f>'[3]F 4 TRI _ Granulo'!H29</f>
        <v>0.35000000000000009</v>
      </c>
      <c r="E42" s="20">
        <f>'[3]F 4 TRI _ Granulo'!E29</f>
        <v>0.64000000000000012</v>
      </c>
      <c r="F42" s="20">
        <f t="shared" si="1"/>
        <v>2.3571374045801545</v>
      </c>
      <c r="G42" s="21">
        <f t="shared" si="0"/>
        <v>2.8096804015272023E-2</v>
      </c>
      <c r="H42" s="21">
        <f>'[3]Calcul sous cat &gt;20'!N50/100</f>
        <v>2.6610847732761487E-2</v>
      </c>
      <c r="I42" s="571"/>
      <c r="J42" s="571"/>
    </row>
    <row r="43" spans="1:10" s="1" customFormat="1" ht="26.25" customHeight="1" x14ac:dyDescent="0.2">
      <c r="A43" s="245" t="s">
        <v>56</v>
      </c>
      <c r="B43" s="18" t="s">
        <v>56</v>
      </c>
      <c r="C43" s="19">
        <f>'[3]F 4 TRI _ Granulo'!K30</f>
        <v>3.1363740458015283</v>
      </c>
      <c r="D43" s="20">
        <f>'[3]F 4 TRI _ Granulo'!H30</f>
        <v>0.53000000000000025</v>
      </c>
      <c r="E43" s="20">
        <f>'[3]F 4 TRI _ Granulo'!E30</f>
        <v>0.2200000000000002</v>
      </c>
      <c r="F43" s="20">
        <f t="shared" si="1"/>
        <v>3.8863740458015288</v>
      </c>
      <c r="G43" s="21">
        <f t="shared" si="0"/>
        <v>4.6325127115096953E-2</v>
      </c>
      <c r="H43" s="21">
        <f>J43</f>
        <v>3.8632698825070026E-2</v>
      </c>
      <c r="I43" s="246">
        <f>G43</f>
        <v>4.6325127115096953E-2</v>
      </c>
      <c r="J43" s="246">
        <f>'[3]Calcul sous cat &gt;20'!N15/100</f>
        <v>3.8632698825070026E-2</v>
      </c>
    </row>
    <row r="44" spans="1:10" s="1" customFormat="1" ht="15" customHeight="1" x14ac:dyDescent="0.2">
      <c r="A44" s="567" t="s">
        <v>57</v>
      </c>
      <c r="B44" s="18" t="s">
        <v>58</v>
      </c>
      <c r="C44" s="19">
        <f>'[3]F 4 TRI _ Granulo'!K31</f>
        <v>0.88461832061068812</v>
      </c>
      <c r="D44" s="20">
        <f>'[3]F 4 TRI _ Granulo'!H31</f>
        <v>3.39</v>
      </c>
      <c r="E44" s="20">
        <f>'[3]F 4 TRI _ Granulo'!E31</f>
        <v>0</v>
      </c>
      <c r="F44" s="20">
        <f t="shared" si="1"/>
        <v>4.2746183206106885</v>
      </c>
      <c r="G44" s="21">
        <f t="shared" si="0"/>
        <v>5.0952953765409405E-2</v>
      </c>
      <c r="H44" s="21">
        <f>G44*J44/I44</f>
        <v>4.1559852394245818E-2</v>
      </c>
      <c r="I44" s="571">
        <f>G44+G45</f>
        <v>5.1911549002551398E-2</v>
      </c>
      <c r="J44" s="571">
        <f>'[3]Calcul sous cat &gt;20'!N16/100</f>
        <v>4.2341732022753126E-2</v>
      </c>
    </row>
    <row r="45" spans="1:10" s="1" customFormat="1" ht="15" customHeight="1" x14ac:dyDescent="0.2">
      <c r="A45" s="570"/>
      <c r="B45" s="18" t="s">
        <v>59</v>
      </c>
      <c r="C45" s="19">
        <f>'[3]F 4 TRI _ Granulo'!K32</f>
        <v>8.0419847328244365E-2</v>
      </c>
      <c r="D45" s="20">
        <f>'[3]F 4 TRI _ Granulo'!H32</f>
        <v>0</v>
      </c>
      <c r="E45" s="20">
        <f>'[3]F 4 TRI _ Granulo'!E32</f>
        <v>0</v>
      </c>
      <c r="F45" s="20">
        <f t="shared" si="1"/>
        <v>8.0419847328244365E-2</v>
      </c>
      <c r="G45" s="21">
        <f t="shared" si="0"/>
        <v>9.5859523714199475E-4</v>
      </c>
      <c r="H45" s="21">
        <f>G45*J44/I44</f>
        <v>7.8187962850730845E-4</v>
      </c>
      <c r="I45" s="571"/>
      <c r="J45" s="571"/>
    </row>
    <row r="46" spans="1:10" s="1" customFormat="1" ht="15" customHeight="1" x14ac:dyDescent="0.2">
      <c r="A46" s="567" t="s">
        <v>60</v>
      </c>
      <c r="B46" s="18" t="s">
        <v>61</v>
      </c>
      <c r="C46" s="19">
        <f>'[3]F 4 TRI _ Granulo'!K33</f>
        <v>0.72377862595419939</v>
      </c>
      <c r="D46" s="20">
        <f>'[3]F 4 TRI _ Granulo'!H33</f>
        <v>0.43000000000000016</v>
      </c>
      <c r="E46" s="20">
        <f>'[3]F 4 TRI _ Granulo'!E33</f>
        <v>0.88000000000000034</v>
      </c>
      <c r="F46" s="20">
        <f t="shared" si="1"/>
        <v>2.0337786259541999</v>
      </c>
      <c r="G46" s="21">
        <f t="shared" si="0"/>
        <v>2.4242404941201313E-2</v>
      </c>
      <c r="H46" s="21">
        <f t="shared" ref="H46:H51" si="2">G46*$J$46/$I$46</f>
        <v>2.0417109437553153E-2</v>
      </c>
      <c r="I46" s="571">
        <f>G46+G47+G50+G51+G48+G49</f>
        <v>4.1447073896000386E-2</v>
      </c>
      <c r="J46" s="571">
        <f>'[3]Calcul sous cat &gt;20'!N17/100</f>
        <v>3.4906992340631125E-2</v>
      </c>
    </row>
    <row r="47" spans="1:10" s="1" customFormat="1" ht="15" customHeight="1" x14ac:dyDescent="0.2">
      <c r="A47" s="568"/>
      <c r="B47" s="18" t="s">
        <v>62</v>
      </c>
      <c r="C47" s="19">
        <f>'[3]F 4 TRI _ Granulo'!K34</f>
        <v>0.40209923664122188</v>
      </c>
      <c r="D47" s="20">
        <f>'[3]F 4 TRI _ Granulo'!H34</f>
        <v>0</v>
      </c>
      <c r="E47" s="20">
        <f>'[3]F 4 TRI _ Granulo'!E34</f>
        <v>0</v>
      </c>
      <c r="F47" s="20">
        <f t="shared" si="1"/>
        <v>0.40209923664122188</v>
      </c>
      <c r="G47" s="21">
        <f t="shared" si="0"/>
        <v>4.7929761857099743E-3</v>
      </c>
      <c r="H47" s="21">
        <f t="shared" si="2"/>
        <v>4.0366753856549229E-3</v>
      </c>
      <c r="I47" s="571"/>
      <c r="J47" s="571"/>
    </row>
    <row r="48" spans="1:10" s="1" customFormat="1" ht="15" customHeight="1" x14ac:dyDescent="0.2">
      <c r="A48" s="568"/>
      <c r="B48" s="18" t="s">
        <v>63</v>
      </c>
      <c r="C48" s="19">
        <f>'[3]F 4 TRI _ Granulo'!K35</f>
        <v>0</v>
      </c>
      <c r="D48" s="20">
        <f>'[3]F 4 TRI _ Granulo'!H35</f>
        <v>0</v>
      </c>
      <c r="E48" s="20">
        <f>'[3]F 4 TRI _ Granulo'!E35</f>
        <v>0</v>
      </c>
      <c r="F48" s="20">
        <f t="shared" si="1"/>
        <v>0</v>
      </c>
      <c r="G48" s="21">
        <f t="shared" si="0"/>
        <v>0</v>
      </c>
      <c r="H48" s="21">
        <f t="shared" si="2"/>
        <v>0</v>
      </c>
      <c r="I48" s="571"/>
      <c r="J48" s="571"/>
    </row>
    <row r="49" spans="1:10" s="1" customFormat="1" ht="15" customHeight="1" x14ac:dyDescent="0.2">
      <c r="A49" s="568"/>
      <c r="B49" s="18" t="s">
        <v>64</v>
      </c>
      <c r="C49" s="19">
        <f>'[3]F 4 TRI _ Granulo'!K36</f>
        <v>0</v>
      </c>
      <c r="D49" s="20">
        <f>'[3]F 4 TRI _ Granulo'!H36</f>
        <v>0</v>
      </c>
      <c r="E49" s="20">
        <f>'[3]F 4 TRI _ Granulo'!E36</f>
        <v>0</v>
      </c>
      <c r="F49" s="20">
        <f t="shared" si="1"/>
        <v>0</v>
      </c>
      <c r="G49" s="21">
        <f t="shared" si="0"/>
        <v>0</v>
      </c>
      <c r="H49" s="21">
        <f t="shared" si="2"/>
        <v>0</v>
      </c>
      <c r="I49" s="571"/>
      <c r="J49" s="571"/>
    </row>
    <row r="50" spans="1:10" s="1" customFormat="1" ht="15" customHeight="1" x14ac:dyDescent="0.2">
      <c r="A50" s="568"/>
      <c r="B50" s="18" t="s">
        <v>65</v>
      </c>
      <c r="C50" s="19">
        <f>'[3]F 4 TRI _ Granulo'!K37</f>
        <v>0</v>
      </c>
      <c r="D50" s="20">
        <f>'[3]F 4 TRI _ Granulo'!H37</f>
        <v>0.31000000000000005</v>
      </c>
      <c r="E50" s="20">
        <f>'[3]F 4 TRI _ Granulo'!E37</f>
        <v>0</v>
      </c>
      <c r="F50" s="20">
        <f t="shared" si="1"/>
        <v>0.31000000000000005</v>
      </c>
      <c r="G50" s="21">
        <f t="shared" si="0"/>
        <v>3.6951639848444586E-3</v>
      </c>
      <c r="H50" s="21">
        <f t="shared" si="2"/>
        <v>3.1120908858366637E-3</v>
      </c>
      <c r="I50" s="571"/>
      <c r="J50" s="571"/>
    </row>
    <row r="51" spans="1:10" s="1" customFormat="1" ht="15" customHeight="1" x14ac:dyDescent="0.2">
      <c r="A51" s="570"/>
      <c r="B51" s="18" t="s">
        <v>66</v>
      </c>
      <c r="C51" s="19">
        <f>'[3]F 4 TRI _ Granulo'!K38</f>
        <v>0.24125954198473309</v>
      </c>
      <c r="D51" s="20">
        <f>'[3]F 4 TRI _ Granulo'!H38</f>
        <v>0.49000000000000021</v>
      </c>
      <c r="E51" s="20">
        <f>'[3]F 4 TRI _ Granulo'!E38</f>
        <v>0</v>
      </c>
      <c r="F51" s="20">
        <f t="shared" si="1"/>
        <v>0.73125954198473331</v>
      </c>
      <c r="G51" s="21">
        <f t="shared" si="0"/>
        <v>8.7165287842446461E-3</v>
      </c>
      <c r="H51" s="21">
        <f t="shared" si="2"/>
        <v>7.3411166315863917E-3</v>
      </c>
      <c r="I51" s="571"/>
      <c r="J51" s="571"/>
    </row>
    <row r="52" spans="1:10" s="1" customFormat="1" ht="15" customHeight="1" x14ac:dyDescent="0.2">
      <c r="A52" s="247" t="s">
        <v>67</v>
      </c>
      <c r="B52" s="18" t="s">
        <v>68</v>
      </c>
      <c r="C52" s="19">
        <f>'[3]F 4 TRI _ Granulo'!K39</f>
        <v>0.56293893129771067</v>
      </c>
      <c r="D52" s="20">
        <f>'[3]F 4 TRI _ Granulo'!H39</f>
        <v>1.4900000000000002</v>
      </c>
      <c r="E52" s="20">
        <f>'[3]F 4 TRI _ Granulo'!E39</f>
        <v>0</v>
      </c>
      <c r="F52" s="20">
        <f t="shared" si="1"/>
        <v>2.0529389312977111</v>
      </c>
      <c r="G52" s="21">
        <f t="shared" si="0"/>
        <v>2.4470793554891526E-2</v>
      </c>
      <c r="H52" s="21">
        <f>J52</f>
        <v>2.2790780852279115E-2</v>
      </c>
      <c r="I52" s="248">
        <f>G52</f>
        <v>2.4470793554891526E-2</v>
      </c>
      <c r="J52" s="248">
        <f>'[3]Calcul sous cat &gt;20'!N18/100</f>
        <v>2.2790780852279115E-2</v>
      </c>
    </row>
    <row r="53" spans="1:10" s="1" customFormat="1" ht="15" customHeight="1" x14ac:dyDescent="0.2">
      <c r="A53" s="567" t="s">
        <v>69</v>
      </c>
      <c r="B53" s="18" t="s">
        <v>121</v>
      </c>
      <c r="C53" s="19">
        <f>'[3]F 4 TRI _ Granulo'!K40</f>
        <v>0</v>
      </c>
      <c r="D53" s="20">
        <f>'[3]F 4 TRI _ Granulo'!H40</f>
        <v>6.0000000000000053E-2</v>
      </c>
      <c r="E53" s="20">
        <f>'[3]F 4 TRI _ Granulo'!E40</f>
        <v>0</v>
      </c>
      <c r="F53" s="20">
        <f t="shared" si="1"/>
        <v>6.0000000000000053E-2</v>
      </c>
      <c r="G53" s="21">
        <f t="shared" si="0"/>
        <v>7.1519302932473441E-4</v>
      </c>
      <c r="H53" s="243">
        <f>G53*J53/I53</f>
        <v>5.9565679415749342E-4</v>
      </c>
      <c r="I53" s="571">
        <f>SUM(G53:G62)</f>
        <v>7.1519302932473441E-4</v>
      </c>
      <c r="J53" s="571">
        <f>'[3]Calcul sous cat &gt;20'!N19/100</f>
        <v>5.9565679415749342E-4</v>
      </c>
    </row>
    <row r="54" spans="1:10" s="1" customFormat="1" ht="15" customHeight="1" x14ac:dyDescent="0.2">
      <c r="A54" s="568"/>
      <c r="B54" s="18" t="s">
        <v>70</v>
      </c>
      <c r="C54" s="19">
        <f>'[3]F 4 TRI _ Granulo'!K41</f>
        <v>0</v>
      </c>
      <c r="D54" s="20">
        <f>'[3]F 4 TRI _ Granulo'!H41</f>
        <v>0</v>
      </c>
      <c r="E54" s="20">
        <f>'[3]F 4 TRI _ Granulo'!E41</f>
        <v>0</v>
      </c>
      <c r="F54" s="20">
        <f t="shared" si="1"/>
        <v>0</v>
      </c>
      <c r="G54" s="21">
        <f t="shared" si="0"/>
        <v>0</v>
      </c>
      <c r="H54" s="21">
        <f>G54*J53/I53</f>
        <v>0</v>
      </c>
      <c r="I54" s="571"/>
      <c r="J54" s="571"/>
    </row>
    <row r="55" spans="1:10" s="1" customFormat="1" ht="15" customHeight="1" x14ac:dyDescent="0.2">
      <c r="A55" s="568"/>
      <c r="B55" s="18" t="s">
        <v>71</v>
      </c>
      <c r="C55" s="19">
        <f>'[3]F 4 TRI _ Granulo'!K42</f>
        <v>0</v>
      </c>
      <c r="D55" s="20">
        <f>'[3]F 4 TRI _ Granulo'!H42</f>
        <v>0</v>
      </c>
      <c r="E55" s="20">
        <f>'[3]F 4 TRI _ Granulo'!E42</f>
        <v>0</v>
      </c>
      <c r="F55" s="20">
        <f>SUM(C55:E55)</f>
        <v>0</v>
      </c>
      <c r="G55" s="21">
        <f t="shared" si="0"/>
        <v>0</v>
      </c>
      <c r="H55" s="244">
        <f>G55*J53/I53</f>
        <v>0</v>
      </c>
      <c r="I55" s="571"/>
      <c r="J55" s="571"/>
    </row>
    <row r="56" spans="1:10" s="1" customFormat="1" ht="15" customHeight="1" x14ac:dyDescent="0.2">
      <c r="A56" s="568"/>
      <c r="B56" s="18" t="s">
        <v>72</v>
      </c>
      <c r="C56" s="19">
        <f>'[3]F 4 TRI _ Granulo'!K43</f>
        <v>0</v>
      </c>
      <c r="D56" s="20">
        <f>'[3]F 4 TRI _ Granulo'!H43</f>
        <v>0</v>
      </c>
      <c r="E56" s="20">
        <f>'[3]F 4 TRI _ Granulo'!E43</f>
        <v>0</v>
      </c>
      <c r="F56" s="20">
        <f t="shared" si="1"/>
        <v>0</v>
      </c>
      <c r="G56" s="21">
        <f>F56/$F$64</f>
        <v>0</v>
      </c>
      <c r="H56" s="244">
        <f>G56*J53/I53</f>
        <v>0</v>
      </c>
      <c r="I56" s="571"/>
      <c r="J56" s="571"/>
    </row>
    <row r="57" spans="1:10" s="1" customFormat="1" ht="17.25" customHeight="1" x14ac:dyDescent="0.2">
      <c r="A57" s="568"/>
      <c r="B57" s="18" t="s">
        <v>122</v>
      </c>
      <c r="C57" s="19">
        <f>'[3]F 4 TRI _ Granulo'!K44</f>
        <v>0</v>
      </c>
      <c r="D57" s="20">
        <f>'[3]F 4 TRI _ Granulo'!H44</f>
        <v>0</v>
      </c>
      <c r="E57" s="20">
        <f>'[3]F 4 TRI _ Granulo'!E44</f>
        <v>0</v>
      </c>
      <c r="F57" s="20">
        <f t="shared" si="1"/>
        <v>0</v>
      </c>
      <c r="G57" s="21">
        <f t="shared" ref="G57:G62" si="3">F57/$F$64</f>
        <v>0</v>
      </c>
      <c r="H57" s="244">
        <f>G57*J53/I53</f>
        <v>0</v>
      </c>
      <c r="I57" s="571"/>
      <c r="J57" s="571"/>
    </row>
    <row r="58" spans="1:10" s="1" customFormat="1" ht="17.25" customHeight="1" x14ac:dyDescent="0.2">
      <c r="A58" s="568"/>
      <c r="B58" s="18" t="s">
        <v>123</v>
      </c>
      <c r="C58" s="19">
        <f>'[3]F 4 TRI _ Granulo'!K45</f>
        <v>0</v>
      </c>
      <c r="D58" s="20">
        <f>'[3]F 4 TRI _ Granulo'!H45</f>
        <v>0</v>
      </c>
      <c r="E58" s="20">
        <f>'[3]F 4 TRI _ Granulo'!E45</f>
        <v>0</v>
      </c>
      <c r="F58" s="20">
        <f t="shared" si="1"/>
        <v>0</v>
      </c>
      <c r="G58" s="21">
        <f t="shared" si="3"/>
        <v>0</v>
      </c>
      <c r="H58" s="244">
        <f>G58*J53/I53</f>
        <v>0</v>
      </c>
      <c r="I58" s="571"/>
      <c r="J58" s="571"/>
    </row>
    <row r="59" spans="1:10" s="1" customFormat="1" ht="25.5" customHeight="1" x14ac:dyDescent="0.2">
      <c r="A59" s="568"/>
      <c r="B59" s="18" t="s">
        <v>124</v>
      </c>
      <c r="C59" s="19">
        <f>'[3]F 4 TRI _ Granulo'!K46</f>
        <v>0</v>
      </c>
      <c r="D59" s="20">
        <f>'[3]F 4 TRI _ Granulo'!H46</f>
        <v>0</v>
      </c>
      <c r="E59" s="20">
        <f>'[3]F 4 TRI _ Granulo'!E46</f>
        <v>0</v>
      </c>
      <c r="F59" s="20">
        <f t="shared" si="1"/>
        <v>0</v>
      </c>
      <c r="G59" s="21">
        <f t="shared" si="3"/>
        <v>0</v>
      </c>
      <c r="H59" s="244">
        <f>G59*J53/I53</f>
        <v>0</v>
      </c>
      <c r="I59" s="571"/>
      <c r="J59" s="571"/>
    </row>
    <row r="60" spans="1:10" ht="25.5" x14ac:dyDescent="0.25">
      <c r="A60" s="568"/>
      <c r="B60" s="18" t="s">
        <v>125</v>
      </c>
      <c r="C60" s="19">
        <f>'[3]F 4 TRI _ Granulo'!K47</f>
        <v>0</v>
      </c>
      <c r="D60" s="20">
        <f>'[3]F 4 TRI _ Granulo'!H47</f>
        <v>0</v>
      </c>
      <c r="E60" s="20">
        <f>'[3]F 4 TRI _ Granulo'!E47</f>
        <v>0</v>
      </c>
      <c r="F60" s="20">
        <f t="shared" si="1"/>
        <v>0</v>
      </c>
      <c r="G60" s="21">
        <f t="shared" si="3"/>
        <v>0</v>
      </c>
      <c r="H60" s="244">
        <f>G60*J53/I53</f>
        <v>0</v>
      </c>
      <c r="I60" s="571"/>
      <c r="J60" s="571"/>
    </row>
    <row r="61" spans="1:10" ht="38.25" x14ac:dyDescent="0.25">
      <c r="A61" s="568"/>
      <c r="B61" s="18" t="s">
        <v>126</v>
      </c>
      <c r="C61" s="19">
        <f>'[3]F 4 TRI _ Granulo'!K48</f>
        <v>0</v>
      </c>
      <c r="D61" s="20">
        <f>'[3]F 4 TRI _ Granulo'!H48</f>
        <v>0</v>
      </c>
      <c r="E61" s="20">
        <f>'[3]F 4 TRI _ Granulo'!E48</f>
        <v>0</v>
      </c>
      <c r="F61" s="20">
        <f t="shared" si="1"/>
        <v>0</v>
      </c>
      <c r="G61" s="21">
        <f t="shared" si="3"/>
        <v>0</v>
      </c>
      <c r="H61" s="244">
        <f>G61*J53/I53</f>
        <v>0</v>
      </c>
      <c r="I61" s="571"/>
      <c r="J61" s="571"/>
    </row>
    <row r="62" spans="1:10" ht="51" x14ac:dyDescent="0.25">
      <c r="A62" s="569"/>
      <c r="B62" s="18" t="s">
        <v>73</v>
      </c>
      <c r="C62" s="19">
        <f>'[3]F 4 TRI _ Granulo'!K49</f>
        <v>0</v>
      </c>
      <c r="D62" s="20">
        <f>'[3]F 4 TRI _ Granulo'!H49</f>
        <v>0</v>
      </c>
      <c r="E62" s="20">
        <f>'[3]F 4 TRI _ Granulo'!E49</f>
        <v>0</v>
      </c>
      <c r="F62" s="20">
        <f t="shared" si="1"/>
        <v>0</v>
      </c>
      <c r="G62" s="21">
        <f t="shared" si="3"/>
        <v>0</v>
      </c>
      <c r="H62" s="244">
        <f>G62*J53/I53</f>
        <v>0</v>
      </c>
      <c r="I62" s="571"/>
      <c r="J62" s="571"/>
    </row>
    <row r="63" spans="1:10" x14ac:dyDescent="0.25">
      <c r="A63" s="22" t="s">
        <v>74</v>
      </c>
      <c r="B63" s="23">
        <f>'[3]F 3 _ Criblage et Tri'!C27+'[3]F 3 _ Criblage et Tri'!D27</f>
        <v>7.0000000000000009</v>
      </c>
      <c r="C63" s="19">
        <f>'[3]F 4 TRI _ Granulo'!K50</f>
        <v>4.0209923664122149</v>
      </c>
      <c r="D63" s="20">
        <f>'[3]F 4 TRI _ Granulo'!H50</f>
        <v>0.12000000000000011</v>
      </c>
      <c r="E63" s="20">
        <f>'[3]F 4 TRI _ Granulo'!E50</f>
        <v>0</v>
      </c>
      <c r="F63" s="19">
        <f>SUM(B63:E63)</f>
        <v>11.140992366412217</v>
      </c>
      <c r="G63" s="21">
        <f t="shared" si="0"/>
        <v>0.13279933467030147</v>
      </c>
      <c r="H63" s="21">
        <f>J63</f>
        <v>6.5080468506697534E-2</v>
      </c>
      <c r="I63" s="24">
        <f>G63</f>
        <v>0.13279933467030147</v>
      </c>
      <c r="J63" s="24">
        <f>'[3]Calcul sous cat &gt;20'!N20/100</f>
        <v>6.5080468506697534E-2</v>
      </c>
    </row>
    <row r="64" spans="1:10" x14ac:dyDescent="0.25">
      <c r="A64" s="25" t="s">
        <v>25</v>
      </c>
      <c r="B64" s="90">
        <f>B63</f>
        <v>7.0000000000000009</v>
      </c>
      <c r="C64" s="19">
        <f>SUM(C18:C63)</f>
        <v>44.713435114503845</v>
      </c>
      <c r="D64" s="19">
        <f>SUM(D18:D63)</f>
        <v>26.320000000000007</v>
      </c>
      <c r="E64" s="19">
        <f>SUM(E18:E63)</f>
        <v>5.860000000000003</v>
      </c>
      <c r="F64" s="19">
        <f>SUM(B64:E64)</f>
        <v>83.893435114503845</v>
      </c>
      <c r="G64" s="21">
        <f t="shared" si="0"/>
        <v>1</v>
      </c>
      <c r="H64" s="21">
        <f>SUM(H18:H63)</f>
        <v>1.0000000000000002</v>
      </c>
      <c r="I64" s="24">
        <f>SUM(I18:I63)</f>
        <v>1</v>
      </c>
      <c r="J64" s="24">
        <f>SUM(J18:J63)</f>
        <v>1</v>
      </c>
    </row>
    <row r="65" spans="1:10" ht="51.75" x14ac:dyDescent="0.25">
      <c r="A65" s="26" t="s">
        <v>75</v>
      </c>
      <c r="B65" s="235">
        <f>B64/$F$64</f>
        <v>8.343918675455228E-2</v>
      </c>
      <c r="C65" s="235">
        <f>C64/$F$64</f>
        <v>0.53297895185094879</v>
      </c>
      <c r="D65" s="235">
        <f>D64/$F$64</f>
        <v>0.31373134219711662</v>
      </c>
      <c r="E65" s="235">
        <f>E64/$F$64</f>
        <v>6.9850519197382374E-2</v>
      </c>
      <c r="F65" s="235">
        <f>F64/$F$64</f>
        <v>1</v>
      </c>
      <c r="G65" s="1"/>
      <c r="H65" s="1"/>
      <c r="I65" s="1"/>
      <c r="J65" s="1"/>
    </row>
  </sheetData>
  <mergeCells count="40">
    <mergeCell ref="B2:F2"/>
    <mergeCell ref="B11:C11"/>
    <mergeCell ref="D11:F11"/>
    <mergeCell ref="B3:F3"/>
    <mergeCell ref="A7:J7"/>
    <mergeCell ref="D9:F9"/>
    <mergeCell ref="D10:F10"/>
    <mergeCell ref="D12:F12"/>
    <mergeCell ref="A14:J14"/>
    <mergeCell ref="G16:G17"/>
    <mergeCell ref="H16:H17"/>
    <mergeCell ref="I16:I17"/>
    <mergeCell ref="J16:J17"/>
    <mergeCell ref="A18:A22"/>
    <mergeCell ref="I18:I22"/>
    <mergeCell ref="J18:J22"/>
    <mergeCell ref="A23:A27"/>
    <mergeCell ref="I23:I27"/>
    <mergeCell ref="J23:J27"/>
    <mergeCell ref="A28:A30"/>
    <mergeCell ref="I28:I30"/>
    <mergeCell ref="J28:J30"/>
    <mergeCell ref="A31:A34"/>
    <mergeCell ref="I31:I34"/>
    <mergeCell ref="J31:J34"/>
    <mergeCell ref="A36:A37"/>
    <mergeCell ref="I36:I37"/>
    <mergeCell ref="J36:J37"/>
    <mergeCell ref="A38:A42"/>
    <mergeCell ref="I38:I42"/>
    <mergeCell ref="J38:J42"/>
    <mergeCell ref="I53:I62"/>
    <mergeCell ref="J53:J62"/>
    <mergeCell ref="A44:A45"/>
    <mergeCell ref="I44:I45"/>
    <mergeCell ref="J44:J45"/>
    <mergeCell ref="A46:A51"/>
    <mergeCell ref="I46:I51"/>
    <mergeCell ref="J46:J51"/>
    <mergeCell ref="A53:A62"/>
  </mergeCells>
  <pageMargins left="0.70866141732283472" right="0.70866141732283472" top="0.74803149606299213" bottom="0.74803149606299213" header="0.31496062992125984" footer="0.31496062992125984"/>
  <pageSetup paperSize="9" scale="76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5"/>
  <sheetViews>
    <sheetView workbookViewId="0">
      <selection sqref="A1:J65"/>
    </sheetView>
  </sheetViews>
  <sheetFormatPr baseColWidth="10" defaultRowHeight="15" x14ac:dyDescent="0.25"/>
  <sheetData>
    <row r="1" spans="1:10" s="1" customFormat="1" ht="12.75" x14ac:dyDescent="0.2"/>
    <row r="2" spans="1:10" s="1" customFormat="1" ht="15.75" x14ac:dyDescent="0.25">
      <c r="A2" s="1" t="s">
        <v>0</v>
      </c>
      <c r="B2" s="582" t="str">
        <f>'[4]F 1 _ Echant et Séchage'!D5</f>
        <v>IVR-E15-PB-PAR</v>
      </c>
      <c r="C2" s="582"/>
      <c r="D2" s="582"/>
      <c r="E2" s="582"/>
      <c r="F2" s="582"/>
      <c r="G2" s="2"/>
      <c r="H2" s="2"/>
      <c r="I2" s="2"/>
      <c r="J2" s="2"/>
    </row>
    <row r="3" spans="1:10" s="1" customFormat="1" ht="12.75" x14ac:dyDescent="0.2">
      <c r="A3" s="1" t="s">
        <v>1</v>
      </c>
      <c r="B3" s="589" t="str">
        <f>'[4]F 1 _ Echant et Séchage'!D6</f>
        <v>456 QPG 75 - PARIS 12E</v>
      </c>
      <c r="C3" s="589"/>
      <c r="D3" s="589"/>
      <c r="E3" s="589"/>
      <c r="F3" s="589"/>
      <c r="G3" s="3"/>
      <c r="H3" s="3"/>
      <c r="I3" s="3"/>
      <c r="J3" s="3"/>
    </row>
    <row r="4" spans="1:10" s="1" customFormat="1" ht="12.75" x14ac:dyDescent="0.2">
      <c r="A4" s="1" t="s">
        <v>2</v>
      </c>
      <c r="B4" s="249"/>
      <c r="C4" s="249" t="str">
        <f>'[4]F 1 _ Echant et Séchage'!D8</f>
        <v>IVRY</v>
      </c>
      <c r="D4" s="249"/>
      <c r="E4" s="249"/>
      <c r="F4" s="249"/>
      <c r="G4" s="3"/>
      <c r="H4" s="3"/>
      <c r="I4" s="3"/>
      <c r="J4" s="3"/>
    </row>
    <row r="5" spans="1:10" s="1" customFormat="1" ht="12.75" x14ac:dyDescent="0.2">
      <c r="A5" s="1" t="s">
        <v>3</v>
      </c>
      <c r="B5" s="249"/>
      <c r="C5" s="249" t="str">
        <f>'[4]F 1 _ Echant et Séchage'!E15</f>
        <v>sec, nuageux</v>
      </c>
      <c r="D5" s="249"/>
      <c r="E5" s="249"/>
      <c r="F5" s="249"/>
      <c r="G5" s="3"/>
      <c r="H5" s="3"/>
      <c r="I5" s="3"/>
      <c r="J5" s="3"/>
    </row>
    <row r="6" spans="1:10" s="1" customFormat="1" ht="12.75" customHeight="1" x14ac:dyDescent="0.2"/>
    <row r="7" spans="1:10" s="1" customFormat="1" ht="18.75" customHeight="1" x14ac:dyDescent="0.2">
      <c r="A7" s="584" t="s">
        <v>4</v>
      </c>
      <c r="B7" s="584"/>
      <c r="C7" s="584"/>
      <c r="D7" s="584"/>
      <c r="E7" s="584"/>
      <c r="F7" s="584"/>
      <c r="G7" s="584"/>
      <c r="H7" s="584"/>
      <c r="I7" s="584"/>
      <c r="J7" s="584"/>
    </row>
    <row r="8" spans="1:10" s="1" customFormat="1" ht="12.75" x14ac:dyDescent="0.2">
      <c r="I8" s="4"/>
    </row>
    <row r="9" spans="1:10" s="1" customFormat="1" ht="12.75" x14ac:dyDescent="0.2">
      <c r="A9" s="1" t="s">
        <v>5</v>
      </c>
      <c r="B9" s="5">
        <f>'[4]F 1 _ Echant et Séchage'!B12</f>
        <v>42193</v>
      </c>
      <c r="D9" s="583" t="s">
        <v>6</v>
      </c>
      <c r="E9" s="583"/>
      <c r="F9" s="583"/>
      <c r="G9" s="6">
        <f>'[4]F 1 _ Echant et Séchage'!G19</f>
        <v>126.08000000000001</v>
      </c>
      <c r="H9" s="6"/>
      <c r="I9" s="7"/>
      <c r="J9" s="1" t="s">
        <v>7</v>
      </c>
    </row>
    <row r="10" spans="1:10" s="1" customFormat="1" ht="12.75" x14ac:dyDescent="0.2">
      <c r="A10" s="1" t="s">
        <v>8</v>
      </c>
      <c r="B10" s="8" t="str">
        <f>'[4]F 1 _ Echant et Séchage'!E12</f>
        <v>19H00</v>
      </c>
      <c r="D10" s="583" t="s">
        <v>9</v>
      </c>
      <c r="E10" s="583"/>
      <c r="F10" s="583"/>
      <c r="G10" s="249">
        <f>'[4]F 1 _ Echant et Séchage'!H26</f>
        <v>0.5</v>
      </c>
      <c r="H10" s="249"/>
      <c r="I10" s="9"/>
      <c r="J10" s="1" t="s">
        <v>10</v>
      </c>
    </row>
    <row r="11" spans="1:10" s="1" customFormat="1" ht="12.75" x14ac:dyDescent="0.2">
      <c r="B11" s="583"/>
      <c r="C11" s="583"/>
      <c r="D11" s="583" t="s">
        <v>11</v>
      </c>
      <c r="E11" s="583"/>
      <c r="F11" s="583"/>
      <c r="G11" s="10">
        <f>G9/1000/G10</f>
        <v>0.25216000000000005</v>
      </c>
      <c r="H11" s="10"/>
      <c r="I11" s="3"/>
      <c r="J11" s="3" t="s">
        <v>12</v>
      </c>
    </row>
    <row r="12" spans="1:10" s="1" customFormat="1" ht="12.75" x14ac:dyDescent="0.2">
      <c r="B12" s="7"/>
      <c r="D12" s="583" t="s">
        <v>13</v>
      </c>
      <c r="E12" s="583"/>
      <c r="F12" s="583"/>
      <c r="G12" s="236">
        <f>'[4]F 1 _ Echant et Séchage'!D51</f>
        <v>0.3937182741116752</v>
      </c>
      <c r="H12" s="11"/>
      <c r="I12" s="11"/>
    </row>
    <row r="13" spans="1:10" s="1" customFormat="1" ht="12.75" x14ac:dyDescent="0.2">
      <c r="B13" s="12"/>
      <c r="G13" s="234"/>
      <c r="H13" s="234"/>
      <c r="I13" s="234"/>
    </row>
    <row r="14" spans="1:10" s="1" customFormat="1" ht="18.75" customHeight="1" x14ac:dyDescent="0.2">
      <c r="A14" s="584" t="s">
        <v>14</v>
      </c>
      <c r="B14" s="584"/>
      <c r="C14" s="584"/>
      <c r="D14" s="584"/>
      <c r="E14" s="584"/>
      <c r="F14" s="584"/>
      <c r="G14" s="584"/>
      <c r="H14" s="584"/>
      <c r="I14" s="584"/>
      <c r="J14" s="584"/>
    </row>
    <row r="15" spans="1:10" s="1" customFormat="1" ht="15.75" customHeight="1" x14ac:dyDescent="0.2">
      <c r="A15" s="13"/>
      <c r="B15" s="13"/>
      <c r="C15" s="13"/>
      <c r="D15" s="13"/>
      <c r="E15" s="13"/>
      <c r="F15" s="13"/>
      <c r="G15" s="13"/>
      <c r="H15" s="13"/>
      <c r="I15" s="13"/>
      <c r="J15" s="13"/>
    </row>
    <row r="16" spans="1:10" s="1" customFormat="1" ht="27.75" customHeight="1" thickBot="1" x14ac:dyDescent="0.25">
      <c r="C16" s="14" t="s">
        <v>15</v>
      </c>
      <c r="D16" s="15"/>
      <c r="E16" s="15"/>
      <c r="F16" s="15"/>
      <c r="G16" s="585" t="s">
        <v>16</v>
      </c>
      <c r="H16" s="587" t="s">
        <v>17</v>
      </c>
      <c r="I16" s="585" t="s">
        <v>18</v>
      </c>
      <c r="J16" s="587" t="s">
        <v>19</v>
      </c>
    </row>
    <row r="17" spans="1:10" s="1" customFormat="1" ht="29.25" customHeight="1" thickBot="1" x14ac:dyDescent="0.25">
      <c r="A17" s="138" t="s">
        <v>20</v>
      </c>
      <c r="B17" s="139" t="s">
        <v>21</v>
      </c>
      <c r="C17" s="16" t="s">
        <v>22</v>
      </c>
      <c r="D17" s="16" t="s">
        <v>23</v>
      </c>
      <c r="E17" s="16" t="s">
        <v>24</v>
      </c>
      <c r="F17" s="17" t="s">
        <v>25</v>
      </c>
      <c r="G17" s="586"/>
      <c r="H17" s="588"/>
      <c r="I17" s="586"/>
      <c r="J17" s="588"/>
    </row>
    <row r="18" spans="1:10" s="1" customFormat="1" ht="15" customHeight="1" x14ac:dyDescent="0.2">
      <c r="A18" s="579" t="s">
        <v>26</v>
      </c>
      <c r="B18" s="18" t="s">
        <v>119</v>
      </c>
      <c r="C18" s="19">
        <f>'[4]F 4 TRI _ Granulo'!K5</f>
        <v>5.235348837209302</v>
      </c>
      <c r="D18" s="20">
        <f>'[4]F 4 TRI _ Granulo'!H5</f>
        <v>0.15000000000000013</v>
      </c>
      <c r="E18" s="20">
        <f>'[4]F 4 TRI _ Granulo'!E5</f>
        <v>0</v>
      </c>
      <c r="F18" s="20">
        <f>SUM(C18:E18)</f>
        <v>5.3853488372093024</v>
      </c>
      <c r="G18" s="21">
        <f t="shared" ref="G18:G64" si="0">F18/$F$64</f>
        <v>6.8318736195329563E-2</v>
      </c>
      <c r="H18" s="21">
        <f>G18*J18/I18</f>
        <v>0.1551001894253583</v>
      </c>
      <c r="I18" s="578">
        <f>G18+G19+G20+G21+G22</f>
        <v>9.7211431988088889E-2</v>
      </c>
      <c r="J18" s="578">
        <f>'[4]Calcul sous cat &gt;20'!N8/100</f>
        <v>0.22069365382513703</v>
      </c>
    </row>
    <row r="19" spans="1:10" s="1" customFormat="1" ht="15" customHeight="1" x14ac:dyDescent="0.2">
      <c r="A19" s="580"/>
      <c r="B19" s="18" t="s">
        <v>27</v>
      </c>
      <c r="C19" s="19">
        <f>'[4]F 4 TRI _ Granulo'!K6</f>
        <v>2.0775193798449614</v>
      </c>
      <c r="D19" s="20">
        <f>'[4]F 4 TRI _ Granulo'!H6</f>
        <v>0.19</v>
      </c>
      <c r="E19" s="20">
        <f>'[4]F 4 TRI _ Granulo'!E6</f>
        <v>0</v>
      </c>
      <c r="F19" s="20">
        <f>SUM(C19:E19)</f>
        <v>2.2675193798449613</v>
      </c>
      <c r="G19" s="21">
        <f t="shared" si="0"/>
        <v>2.8765835419809489E-2</v>
      </c>
      <c r="H19" s="21">
        <f>G19*J18/I18</f>
        <v>6.5305460420623795E-2</v>
      </c>
      <c r="I19" s="578"/>
      <c r="J19" s="578"/>
    </row>
    <row r="20" spans="1:10" s="1" customFormat="1" ht="15" customHeight="1" x14ac:dyDescent="0.2">
      <c r="A20" s="580"/>
      <c r="B20" s="18" t="s">
        <v>28</v>
      </c>
      <c r="C20" s="19">
        <f>'[4]F 4 TRI _ Granulo'!K7</f>
        <v>0</v>
      </c>
      <c r="D20" s="20">
        <f>'[4]F 4 TRI _ Granulo'!H7</f>
        <v>0</v>
      </c>
      <c r="E20" s="20">
        <f>'[4]F 4 TRI _ Granulo'!E7</f>
        <v>0</v>
      </c>
      <c r="F20" s="20">
        <f t="shared" ref="F20:F62" si="1">SUM(C20:E20)</f>
        <v>0</v>
      </c>
      <c r="G20" s="21">
        <f t="shared" si="0"/>
        <v>0</v>
      </c>
      <c r="H20" s="21">
        <f>G20*J18/I18</f>
        <v>0</v>
      </c>
      <c r="I20" s="578"/>
      <c r="J20" s="578"/>
    </row>
    <row r="21" spans="1:10" s="1" customFormat="1" ht="15" customHeight="1" x14ac:dyDescent="0.2">
      <c r="A21" s="580"/>
      <c r="B21" s="18" t="s">
        <v>29</v>
      </c>
      <c r="C21" s="19">
        <f>'[4]F 4 TRI _ Granulo'!K8</f>
        <v>0</v>
      </c>
      <c r="D21" s="20">
        <f>'[4]F 4 TRI _ Granulo'!H8</f>
        <v>0</v>
      </c>
      <c r="E21" s="20">
        <f>'[4]F 4 TRI _ Granulo'!E8</f>
        <v>0</v>
      </c>
      <c r="F21" s="20">
        <f t="shared" si="1"/>
        <v>0</v>
      </c>
      <c r="G21" s="21">
        <f t="shared" si="0"/>
        <v>0</v>
      </c>
      <c r="H21" s="21">
        <f>G21*J18/I18</f>
        <v>0</v>
      </c>
      <c r="I21" s="578"/>
      <c r="J21" s="578"/>
    </row>
    <row r="22" spans="1:10" s="1" customFormat="1" ht="15" customHeight="1" x14ac:dyDescent="0.2">
      <c r="A22" s="581"/>
      <c r="B22" s="18" t="s">
        <v>30</v>
      </c>
      <c r="C22" s="19">
        <f>'[4]F 4 TRI _ Granulo'!K9</f>
        <v>0</v>
      </c>
      <c r="D22" s="20">
        <f>'[4]F 4 TRI _ Granulo'!H9</f>
        <v>1.0000000000000009E-2</v>
      </c>
      <c r="E22" s="20">
        <f>'[4]F 4 TRI _ Granulo'!E9</f>
        <v>0</v>
      </c>
      <c r="F22" s="20">
        <f t="shared" si="1"/>
        <v>1.0000000000000009E-2</v>
      </c>
      <c r="G22" s="21">
        <f t="shared" si="0"/>
        <v>1.2686037294982829E-4</v>
      </c>
      <c r="H22" s="21">
        <f>G22*J18/I18</f>
        <v>2.8800397915491698E-4</v>
      </c>
      <c r="I22" s="578"/>
      <c r="J22" s="578"/>
    </row>
    <row r="23" spans="1:10" s="1" customFormat="1" ht="15" customHeight="1" x14ac:dyDescent="0.2">
      <c r="A23" s="567" t="s">
        <v>31</v>
      </c>
      <c r="B23" s="18" t="s">
        <v>32</v>
      </c>
      <c r="C23" s="19">
        <f>'[4]F 4 TRI _ Granulo'!K10</f>
        <v>0.74790697674418671</v>
      </c>
      <c r="D23" s="20">
        <f>'[4]F 4 TRI _ Granulo'!H10</f>
        <v>3.0000000000000027E-2</v>
      </c>
      <c r="E23" s="20">
        <f>'[4]F 4 TRI _ Granulo'!E10</f>
        <v>0</v>
      </c>
      <c r="F23" s="20">
        <f t="shared" si="1"/>
        <v>0.77790697674418674</v>
      </c>
      <c r="G23" s="21">
        <f t="shared" si="0"/>
        <v>9.8685569190040852E-3</v>
      </c>
      <c r="H23" s="21">
        <f>'[4]Calcul sous cat &gt;20'!N32/100</f>
        <v>9.3800108684676687E-3</v>
      </c>
      <c r="I23" s="571">
        <f>G23+G24+G25+G26+G27</f>
        <v>7.6565643850812215E-2</v>
      </c>
      <c r="J23" s="571">
        <f>'[4]Calcul sous cat &gt;20'!N9/100</f>
        <v>7.1222384696768823E-2</v>
      </c>
    </row>
    <row r="24" spans="1:10" s="1" customFormat="1" ht="15" customHeight="1" x14ac:dyDescent="0.2">
      <c r="A24" s="568"/>
      <c r="B24" s="18" t="s">
        <v>33</v>
      </c>
      <c r="C24" s="19">
        <f>'[4]F 4 TRI _ Granulo'!K11</f>
        <v>0.24930232558139559</v>
      </c>
      <c r="D24" s="20">
        <f>'[4]F 4 TRI _ Granulo'!H11</f>
        <v>0.81</v>
      </c>
      <c r="E24" s="20">
        <f>'[4]F 4 TRI _ Granulo'!E11</f>
        <v>0</v>
      </c>
      <c r="F24" s="20">
        <f t="shared" si="1"/>
        <v>1.0593023255813956</v>
      </c>
      <c r="G24" s="21">
        <f t="shared" si="0"/>
        <v>1.3438348808987616E-2</v>
      </c>
      <c r="H24" s="21">
        <f>'[4]Calcul sous cat &gt;20'!N33/100</f>
        <v>1.2352151958752743E-2</v>
      </c>
      <c r="I24" s="571"/>
      <c r="J24" s="571"/>
    </row>
    <row r="25" spans="1:10" s="1" customFormat="1" ht="15" customHeight="1" x14ac:dyDescent="0.2">
      <c r="A25" s="568"/>
      <c r="B25" s="18" t="s">
        <v>34</v>
      </c>
      <c r="C25" s="19">
        <f>'[4]F 4 TRI _ Granulo'!K12</f>
        <v>0</v>
      </c>
      <c r="D25" s="20">
        <f>'[4]F 4 TRI _ Granulo'!H12</f>
        <v>1.6099999999999999</v>
      </c>
      <c r="E25" s="20">
        <f>'[4]F 4 TRI _ Granulo'!E12</f>
        <v>0</v>
      </c>
      <c r="F25" s="20">
        <f t="shared" si="1"/>
        <v>1.6099999999999999</v>
      </c>
      <c r="G25" s="21">
        <f t="shared" si="0"/>
        <v>2.0424520044922335E-2</v>
      </c>
      <c r="H25" s="21">
        <f>'[4]Calcul sous cat &gt;20'!N34/100</f>
        <v>1.8773643910086762E-2</v>
      </c>
      <c r="I25" s="571"/>
      <c r="J25" s="571"/>
    </row>
    <row r="26" spans="1:10" s="1" customFormat="1" ht="15" customHeight="1" x14ac:dyDescent="0.2">
      <c r="A26" s="568"/>
      <c r="B26" s="18" t="s">
        <v>35</v>
      </c>
      <c r="C26" s="19">
        <f>'[4]F 4 TRI _ Granulo'!K13</f>
        <v>0.91410852713178381</v>
      </c>
      <c r="D26" s="20">
        <f>'[4]F 4 TRI _ Granulo'!H13</f>
        <v>0.73</v>
      </c>
      <c r="E26" s="20">
        <f>'[4]F 4 TRI _ Granulo'!E13</f>
        <v>0</v>
      </c>
      <c r="F26" s="20">
        <f t="shared" si="1"/>
        <v>1.6441085271317837</v>
      </c>
      <c r="G26" s="21">
        <f t="shared" si="0"/>
        <v>2.0857222092193078E-2</v>
      </c>
      <c r="H26" s="21">
        <f>'[4]Calcul sous cat &gt;20'!N35/100</f>
        <v>1.9362322131489938E-2</v>
      </c>
      <c r="I26" s="571"/>
      <c r="J26" s="571"/>
    </row>
    <row r="27" spans="1:10" s="1" customFormat="1" ht="15" customHeight="1" x14ac:dyDescent="0.2">
      <c r="A27" s="570"/>
      <c r="B27" s="18" t="s">
        <v>36</v>
      </c>
      <c r="C27" s="19">
        <f>'[4]F 4 TRI _ Granulo'!K14</f>
        <v>0.91410852713178381</v>
      </c>
      <c r="D27" s="20">
        <f>'[4]F 4 TRI _ Granulo'!H14</f>
        <v>3.0000000000000027E-2</v>
      </c>
      <c r="E27" s="20">
        <f>'[4]F 4 TRI _ Granulo'!E14</f>
        <v>0</v>
      </c>
      <c r="F27" s="20">
        <f t="shared" si="1"/>
        <v>0.94410852713178384</v>
      </c>
      <c r="G27" s="21">
        <f t="shared" si="0"/>
        <v>1.1976995985705107E-2</v>
      </c>
      <c r="H27" s="21">
        <f>'[4]Calcul sous cat &gt;20'!N36/100</f>
        <v>1.1354255827971704E-2</v>
      </c>
      <c r="I27" s="571"/>
      <c r="J27" s="571"/>
    </row>
    <row r="28" spans="1:10" s="1" customFormat="1" ht="15" customHeight="1" x14ac:dyDescent="0.2">
      <c r="A28" s="567" t="s">
        <v>37</v>
      </c>
      <c r="B28" s="18" t="s">
        <v>38</v>
      </c>
      <c r="C28" s="19">
        <f>'[4]F 4 TRI _ Granulo'!K15</f>
        <v>1.5789147286821719</v>
      </c>
      <c r="D28" s="20">
        <f>'[4]F 4 TRI _ Granulo'!H15</f>
        <v>0.99000000000000021</v>
      </c>
      <c r="E28" s="20">
        <f>'[4]F 4 TRI _ Granulo'!E15</f>
        <v>0</v>
      </c>
      <c r="F28" s="20">
        <f t="shared" si="1"/>
        <v>2.5689147286821719</v>
      </c>
      <c r="G28" s="21">
        <f t="shared" si="0"/>
        <v>3.2589348055692698E-2</v>
      </c>
      <c r="H28" s="21">
        <f>'[4]Calcul sous cat &gt;20'!N37/100</f>
        <v>3.0211270092593119E-2</v>
      </c>
      <c r="I28" s="571">
        <f>G28+G29+G30</f>
        <v>9.1757419364990087E-2</v>
      </c>
      <c r="J28" s="571">
        <f>'[4]Calcul sous cat &gt;20'!N10/100</f>
        <v>8.5363650241408975E-2</v>
      </c>
    </row>
    <row r="29" spans="1:10" s="1" customFormat="1" ht="15" customHeight="1" x14ac:dyDescent="0.2">
      <c r="A29" s="568"/>
      <c r="B29" s="18" t="s">
        <v>39</v>
      </c>
      <c r="C29" s="19">
        <f>'[4]F 4 TRI _ Granulo'!K16</f>
        <v>2.4099224806201551</v>
      </c>
      <c r="D29" s="20">
        <f>'[4]F 4 TRI _ Granulo'!H16</f>
        <v>1.17</v>
      </c>
      <c r="E29" s="20">
        <f>'[4]F 4 TRI _ Granulo'!E16</f>
        <v>0</v>
      </c>
      <c r="F29" s="20">
        <f t="shared" si="1"/>
        <v>3.5799224806201551</v>
      </c>
      <c r="G29" s="21">
        <f t="shared" si="0"/>
        <v>4.5415030102294689E-2</v>
      </c>
      <c r="H29" s="21">
        <f>'[4]Calcul sous cat &gt;20'!N38/100</f>
        <v>4.2132338879157523E-2</v>
      </c>
      <c r="I29" s="571"/>
      <c r="J29" s="571"/>
    </row>
    <row r="30" spans="1:10" s="1" customFormat="1" ht="15" customHeight="1" x14ac:dyDescent="0.2">
      <c r="A30" s="570"/>
      <c r="B30" s="18" t="s">
        <v>40</v>
      </c>
      <c r="C30" s="19">
        <f>'[4]F 4 TRI _ Granulo'!K17</f>
        <v>0.91410852713178381</v>
      </c>
      <c r="D30" s="20">
        <f>'[4]F 4 TRI _ Granulo'!H17</f>
        <v>0.17000000000000015</v>
      </c>
      <c r="E30" s="20">
        <f>'[4]F 4 TRI _ Granulo'!E17</f>
        <v>0</v>
      </c>
      <c r="F30" s="20">
        <f t="shared" si="1"/>
        <v>1.0841085271317841</v>
      </c>
      <c r="G30" s="21">
        <f t="shared" si="0"/>
        <v>1.3753041207002705E-2</v>
      </c>
      <c r="H30" s="21">
        <f>'[4]Calcul sous cat &gt;20'!N39/100</f>
        <v>1.3020041269658332E-2</v>
      </c>
      <c r="I30" s="571"/>
      <c r="J30" s="571"/>
    </row>
    <row r="31" spans="1:10" s="1" customFormat="1" ht="15" customHeight="1" x14ac:dyDescent="0.2">
      <c r="A31" s="572" t="s">
        <v>41</v>
      </c>
      <c r="B31" s="18" t="s">
        <v>42</v>
      </c>
      <c r="C31" s="19">
        <f>'[4]F 4 TRI _ Granulo'!K18</f>
        <v>0</v>
      </c>
      <c r="D31" s="20">
        <f>'[4]F 4 TRI _ Granulo'!H18</f>
        <v>5.0000000000000044E-2</v>
      </c>
      <c r="E31" s="20">
        <f>'[4]F 4 TRI _ Granulo'!E18</f>
        <v>0</v>
      </c>
      <c r="F31" s="20">
        <f t="shared" si="1"/>
        <v>5.0000000000000044E-2</v>
      </c>
      <c r="G31" s="21">
        <f t="shared" si="0"/>
        <v>6.3430186474914142E-4</v>
      </c>
      <c r="H31" s="243">
        <f>G31*J31/I31</f>
        <v>7.4280291587545575E-4</v>
      </c>
      <c r="I31" s="575">
        <f>G31+G32+G33+G34</f>
        <v>1.4973457663054924E-2</v>
      </c>
      <c r="J31" s="575">
        <f>'[4]Calcul sous cat &gt;20'!N11/100</f>
        <v>1.753475534437161E-2</v>
      </c>
    </row>
    <row r="32" spans="1:10" s="1" customFormat="1" ht="15" customHeight="1" x14ac:dyDescent="0.2">
      <c r="A32" s="573"/>
      <c r="B32" s="18" t="s">
        <v>43</v>
      </c>
      <c r="C32" s="19">
        <f>'[4]F 4 TRI _ Granulo'!K19</f>
        <v>1.0803100775193808</v>
      </c>
      <c r="D32" s="20">
        <f>'[4]F 4 TRI _ Granulo'!H19</f>
        <v>0</v>
      </c>
      <c r="E32" s="20">
        <f>'[4]F 4 TRI _ Granulo'!E19</f>
        <v>0</v>
      </c>
      <c r="F32" s="20">
        <f t="shared" si="1"/>
        <v>1.0803100775193808</v>
      </c>
      <c r="G32" s="21">
        <f t="shared" si="0"/>
        <v>1.3704853933556643E-2</v>
      </c>
      <c r="H32" s="243">
        <f>G32*J31/I31</f>
        <v>1.6049149512620701E-2</v>
      </c>
      <c r="I32" s="576"/>
      <c r="J32" s="576"/>
    </row>
    <row r="33" spans="1:10" s="1" customFormat="1" ht="15" customHeight="1" x14ac:dyDescent="0.2">
      <c r="A33" s="573"/>
      <c r="B33" s="18" t="s">
        <v>44</v>
      </c>
      <c r="C33" s="19">
        <f>'[4]F 4 TRI _ Granulo'!K20</f>
        <v>0</v>
      </c>
      <c r="D33" s="20">
        <f>'[4]F 4 TRI _ Granulo'!H20</f>
        <v>0</v>
      </c>
      <c r="E33" s="20">
        <f>'[4]F 4 TRI _ Granulo'!E20</f>
        <v>0</v>
      </c>
      <c r="F33" s="20">
        <f t="shared" si="1"/>
        <v>0</v>
      </c>
      <c r="G33" s="21">
        <f t="shared" si="0"/>
        <v>0</v>
      </c>
      <c r="H33" s="243">
        <f>G33*J31/I31</f>
        <v>0</v>
      </c>
      <c r="I33" s="576"/>
      <c r="J33" s="576"/>
    </row>
    <row r="34" spans="1:10" s="1" customFormat="1" ht="15" customHeight="1" x14ac:dyDescent="0.2">
      <c r="A34" s="574"/>
      <c r="B34" s="18" t="s">
        <v>120</v>
      </c>
      <c r="C34" s="19">
        <f>'[4]F 4 TRI _ Granulo'!K21</f>
        <v>0</v>
      </c>
      <c r="D34" s="20">
        <f>'[4]F 4 TRI _ Granulo'!H21</f>
        <v>5.0000000000000044E-2</v>
      </c>
      <c r="E34" s="20">
        <f>'[4]F 4 TRI _ Granulo'!E21</f>
        <v>0</v>
      </c>
      <c r="F34" s="20">
        <f t="shared" si="1"/>
        <v>5.0000000000000044E-2</v>
      </c>
      <c r="G34" s="21">
        <f t="shared" si="0"/>
        <v>6.3430186474914142E-4</v>
      </c>
      <c r="H34" s="243">
        <f>G34*J31/I31</f>
        <v>7.4280291587545575E-4</v>
      </c>
      <c r="I34" s="577"/>
      <c r="J34" s="577"/>
    </row>
    <row r="35" spans="1:10" s="1" customFormat="1" ht="15" customHeight="1" x14ac:dyDescent="0.2">
      <c r="A35" s="245" t="s">
        <v>45</v>
      </c>
      <c r="B35" s="18" t="s">
        <v>46</v>
      </c>
      <c r="C35" s="19">
        <f>'[4]F 4 TRI _ Granulo'!K22</f>
        <v>0</v>
      </c>
      <c r="D35" s="20">
        <f>'[4]F 4 TRI _ Granulo'!H22</f>
        <v>0.79</v>
      </c>
      <c r="E35" s="20">
        <f>'[4]F 4 TRI _ Granulo'!E22</f>
        <v>0</v>
      </c>
      <c r="F35" s="20">
        <f t="shared" si="1"/>
        <v>0.79</v>
      </c>
      <c r="G35" s="21">
        <f t="shared" si="0"/>
        <v>1.0021969463036427E-2</v>
      </c>
      <c r="H35" s="21">
        <f>'[4]Calcul sous cat &gt;20'!N43/100</f>
        <v>9.316441839654627E-3</v>
      </c>
      <c r="I35" s="246">
        <f>G35</f>
        <v>1.0021969463036427E-2</v>
      </c>
      <c r="J35" s="246">
        <f>'[4]Calcul sous cat &gt;20'!N12/100</f>
        <v>9.316441839654627E-3</v>
      </c>
    </row>
    <row r="36" spans="1:10" s="1" customFormat="1" ht="15" customHeight="1" x14ac:dyDescent="0.2">
      <c r="A36" s="567" t="s">
        <v>47</v>
      </c>
      <c r="B36" s="18" t="s">
        <v>48</v>
      </c>
      <c r="C36" s="19">
        <f>'[4]F 4 TRI _ Granulo'!K23</f>
        <v>4.9029457364341109</v>
      </c>
      <c r="D36" s="20">
        <f>'[4]F 4 TRI _ Granulo'!H23</f>
        <v>0</v>
      </c>
      <c r="E36" s="20">
        <f>'[4]F 4 TRI _ Granulo'!E23</f>
        <v>0</v>
      </c>
      <c r="F36" s="20">
        <f t="shared" si="1"/>
        <v>4.9029457364341109</v>
      </c>
      <c r="G36" s="21">
        <f t="shared" si="0"/>
        <v>6.2198952467680126E-2</v>
      </c>
      <c r="H36" s="21">
        <f>'[4]Calcul sous cat &gt;20'!N44/100</f>
        <v>5.9797753433083696E-2</v>
      </c>
      <c r="I36" s="571">
        <f>G36+G37</f>
        <v>0.12924908493351139</v>
      </c>
      <c r="J36" s="571">
        <f>'[4]Calcul sous cat &gt;20'!N13/100</f>
        <v>0.12347578549446409</v>
      </c>
    </row>
    <row r="37" spans="1:10" s="1" customFormat="1" ht="15" customHeight="1" x14ac:dyDescent="0.2">
      <c r="A37" s="570"/>
      <c r="B37" s="18" t="s">
        <v>49</v>
      </c>
      <c r="C37" s="19">
        <f>'[4]F 4 TRI _ Granulo'!K24</f>
        <v>5.235348837209302</v>
      </c>
      <c r="D37" s="20">
        <f>'[4]F 4 TRI _ Granulo'!H24</f>
        <v>5.0000000000000044E-2</v>
      </c>
      <c r="E37" s="20">
        <f>'[4]F 4 TRI _ Granulo'!E24</f>
        <v>0</v>
      </c>
      <c r="F37" s="20">
        <f t="shared" si="1"/>
        <v>5.2853488372093018</v>
      </c>
      <c r="G37" s="21">
        <f t="shared" si="0"/>
        <v>6.7050132465831275E-2</v>
      </c>
      <c r="H37" s="21">
        <f>'[4]Calcul sous cat &gt;20'!N45/100</f>
        <v>6.3678032061380396E-2</v>
      </c>
      <c r="I37" s="571"/>
      <c r="J37" s="571"/>
    </row>
    <row r="38" spans="1:10" s="1" customFormat="1" ht="15" customHeight="1" x14ac:dyDescent="0.2">
      <c r="A38" s="567" t="s">
        <v>50</v>
      </c>
      <c r="B38" s="18" t="s">
        <v>51</v>
      </c>
      <c r="C38" s="19">
        <f>'[4]F 4 TRI _ Granulo'!K25</f>
        <v>2.0775193798449614</v>
      </c>
      <c r="D38" s="20">
        <f>'[4]F 4 TRI _ Granulo'!H25</f>
        <v>6.73</v>
      </c>
      <c r="E38" s="20">
        <f>'[4]F 4 TRI _ Granulo'!E25</f>
        <v>0.86000000000000032</v>
      </c>
      <c r="F38" s="20">
        <f t="shared" si="1"/>
        <v>9.6675193798449612</v>
      </c>
      <c r="G38" s="21">
        <f t="shared" si="0"/>
        <v>0.12264251140268234</v>
      </c>
      <c r="H38" s="21">
        <f>'[4]Calcul sous cat &gt;20'!N46/100</f>
        <v>0.13147097900464055</v>
      </c>
      <c r="I38" s="571">
        <f>G38+G39+G40+G41+G42</f>
        <v>0.24267209248809579</v>
      </c>
      <c r="J38" s="571">
        <f>'[4]Calcul sous cat &gt;20'!N14/100</f>
        <v>0.25451129592325189</v>
      </c>
    </row>
    <row r="39" spans="1:10" s="1" customFormat="1" ht="15" customHeight="1" x14ac:dyDescent="0.2">
      <c r="A39" s="568"/>
      <c r="B39" s="18" t="s">
        <v>52</v>
      </c>
      <c r="C39" s="19">
        <f>'[4]F 4 TRI _ Granulo'!K26</f>
        <v>1.5789147286821719</v>
      </c>
      <c r="D39" s="20">
        <f>'[4]F 4 TRI _ Granulo'!H26</f>
        <v>1.35</v>
      </c>
      <c r="E39" s="20">
        <f>'[4]F 4 TRI _ Granulo'!E26</f>
        <v>0</v>
      </c>
      <c r="F39" s="20">
        <f t="shared" si="1"/>
        <v>2.9289147286821722</v>
      </c>
      <c r="G39" s="21">
        <f t="shared" si="0"/>
        <v>3.7156321481886516E-2</v>
      </c>
      <c r="H39" s="21">
        <f>'[4]Calcul sous cat &gt;20'!N47/100</f>
        <v>3.5605020887605809E-2</v>
      </c>
      <c r="I39" s="571"/>
      <c r="J39" s="571"/>
    </row>
    <row r="40" spans="1:10" s="1" customFormat="1" ht="15" customHeight="1" x14ac:dyDescent="0.2">
      <c r="A40" s="568"/>
      <c r="B40" s="18" t="s">
        <v>53</v>
      </c>
      <c r="C40" s="19">
        <f>'[4]F 4 TRI _ Granulo'!K27</f>
        <v>0</v>
      </c>
      <c r="D40" s="20">
        <f>'[4]F 4 TRI _ Granulo'!H27</f>
        <v>0.95000000000000018</v>
      </c>
      <c r="E40" s="20">
        <f>'[4]F 4 TRI _ Granulo'!E27</f>
        <v>0</v>
      </c>
      <c r="F40" s="20">
        <f t="shared" si="1"/>
        <v>0.95000000000000018</v>
      </c>
      <c r="G40" s="21">
        <f t="shared" si="0"/>
        <v>1.2051735430233679E-2</v>
      </c>
      <c r="H40" s="21">
        <f>'[4]Calcul sous cat &gt;20'!N48/100</f>
        <v>1.1546849959829807E-2</v>
      </c>
      <c r="I40" s="571"/>
      <c r="J40" s="571"/>
    </row>
    <row r="41" spans="1:10" s="1" customFormat="1" ht="15" customHeight="1" x14ac:dyDescent="0.2">
      <c r="A41" s="568"/>
      <c r="B41" s="18" t="s">
        <v>54</v>
      </c>
      <c r="C41" s="19">
        <f>'[4]F 4 TRI _ Granulo'!K28</f>
        <v>1.2465116279069779</v>
      </c>
      <c r="D41" s="20">
        <f>'[4]F 4 TRI _ Granulo'!H28</f>
        <v>0.85000000000000009</v>
      </c>
      <c r="E41" s="20">
        <f>'[4]F 4 TRI _ Granulo'!E28</f>
        <v>0</v>
      </c>
      <c r="F41" s="20">
        <f t="shared" si="1"/>
        <v>2.096511627906978</v>
      </c>
      <c r="G41" s="21">
        <f t="shared" si="0"/>
        <v>2.6596424700993063E-2</v>
      </c>
      <c r="H41" s="21">
        <f>'[4]Calcul sous cat &gt;20'!N49/100</f>
        <v>2.8497562974344307E-2</v>
      </c>
      <c r="I41" s="571"/>
      <c r="J41" s="571"/>
    </row>
    <row r="42" spans="1:10" s="1" customFormat="1" ht="27" customHeight="1" x14ac:dyDescent="0.2">
      <c r="A42" s="570"/>
      <c r="B42" s="18" t="s">
        <v>55</v>
      </c>
      <c r="C42" s="19">
        <f>'[4]F 4 TRI _ Granulo'!K29</f>
        <v>2.5761240310077524</v>
      </c>
      <c r="D42" s="20">
        <f>'[4]F 4 TRI _ Granulo'!H29</f>
        <v>0.60999999999999988</v>
      </c>
      <c r="E42" s="20">
        <f>'[4]F 4 TRI _ Granulo'!E29</f>
        <v>0.29999999999999982</v>
      </c>
      <c r="F42" s="20">
        <f t="shared" si="1"/>
        <v>3.4861240310077521</v>
      </c>
      <c r="G42" s="21">
        <f t="shared" si="0"/>
        <v>4.4225099472300182E-2</v>
      </c>
      <c r="H42" s="21">
        <f>'[4]Calcul sous cat &gt;20'!N50/100</f>
        <v>4.7390883096831447E-2</v>
      </c>
      <c r="I42" s="571"/>
      <c r="J42" s="571"/>
    </row>
    <row r="43" spans="1:10" s="1" customFormat="1" ht="26.25" customHeight="1" x14ac:dyDescent="0.2">
      <c r="A43" s="245" t="s">
        <v>56</v>
      </c>
      <c r="B43" s="18" t="s">
        <v>56</v>
      </c>
      <c r="C43" s="19">
        <f>'[4]F 4 TRI _ Granulo'!K30</f>
        <v>1.0803100775193808</v>
      </c>
      <c r="D43" s="20">
        <f>'[4]F 4 TRI _ Granulo'!H30</f>
        <v>0.85000000000000009</v>
      </c>
      <c r="E43" s="20">
        <f>'[4]F 4 TRI _ Granulo'!E30</f>
        <v>0</v>
      </c>
      <c r="F43" s="20">
        <f t="shared" si="1"/>
        <v>1.9303100775193809</v>
      </c>
      <c r="G43" s="21">
        <f t="shared" si="0"/>
        <v>2.4487985634292039E-2</v>
      </c>
      <c r="H43" s="21">
        <f>J43</f>
        <v>2.3246643179271508E-2</v>
      </c>
      <c r="I43" s="246">
        <f>G43</f>
        <v>2.4487985634292039E-2</v>
      </c>
      <c r="J43" s="246">
        <f>'[4]Calcul sous cat &gt;20'!N15/100</f>
        <v>2.3246643179271508E-2</v>
      </c>
    </row>
    <row r="44" spans="1:10" s="1" customFormat="1" ht="15" customHeight="1" x14ac:dyDescent="0.2">
      <c r="A44" s="567" t="s">
        <v>57</v>
      </c>
      <c r="B44" s="18" t="s">
        <v>58</v>
      </c>
      <c r="C44" s="19">
        <f>'[4]F 4 TRI _ Granulo'!K31</f>
        <v>1.412713178294575</v>
      </c>
      <c r="D44" s="20">
        <f>'[4]F 4 TRI _ Granulo'!H31</f>
        <v>0.64999999999999991</v>
      </c>
      <c r="E44" s="20">
        <f>'[4]F 4 TRI _ Granulo'!E31</f>
        <v>0</v>
      </c>
      <c r="F44" s="20">
        <f t="shared" si="1"/>
        <v>2.0627131782945751</v>
      </c>
      <c r="G44" s="21">
        <f t="shared" si="0"/>
        <v>2.6167656308697523E-2</v>
      </c>
      <c r="H44" s="21">
        <f>G44*J44/I44</f>
        <v>2.4299920233205086E-2</v>
      </c>
      <c r="I44" s="571">
        <f>G44+G45</f>
        <v>5.7374324640611457E-2</v>
      </c>
      <c r="J44" s="571">
        <f>'[4]Calcul sous cat &gt;20'!N16/100</f>
        <v>5.3279189230923764E-2</v>
      </c>
    </row>
    <row r="45" spans="1:10" s="1" customFormat="1" ht="15" customHeight="1" x14ac:dyDescent="0.2">
      <c r="A45" s="570"/>
      <c r="B45" s="18" t="s">
        <v>59</v>
      </c>
      <c r="C45" s="19">
        <f>'[4]F 4 TRI _ Granulo'!K32</f>
        <v>2.4099224806201551</v>
      </c>
      <c r="D45" s="20">
        <f>'[4]F 4 TRI _ Granulo'!H32</f>
        <v>5.0000000000000044E-2</v>
      </c>
      <c r="E45" s="20">
        <f>'[4]F 4 TRI _ Granulo'!E32</f>
        <v>0</v>
      </c>
      <c r="F45" s="20">
        <f t="shared" si="1"/>
        <v>2.4599224806201549</v>
      </c>
      <c r="G45" s="21">
        <f t="shared" si="0"/>
        <v>3.1206668331913934E-2</v>
      </c>
      <c r="H45" s="21">
        <f>G45*J44/I44</f>
        <v>2.8979268997718681E-2</v>
      </c>
      <c r="I45" s="571"/>
      <c r="J45" s="571"/>
    </row>
    <row r="46" spans="1:10" s="1" customFormat="1" ht="15" customHeight="1" x14ac:dyDescent="0.2">
      <c r="A46" s="567" t="s">
        <v>60</v>
      </c>
      <c r="B46" s="18" t="s">
        <v>61</v>
      </c>
      <c r="C46" s="19">
        <f>'[4]F 4 TRI _ Granulo'!K33</f>
        <v>1.9113178294573641</v>
      </c>
      <c r="D46" s="20">
        <f>'[4]F 4 TRI _ Granulo'!H33</f>
        <v>0.53000000000000025</v>
      </c>
      <c r="E46" s="20">
        <f>'[4]F 4 TRI _ Granulo'!E33</f>
        <v>0</v>
      </c>
      <c r="F46" s="20">
        <f t="shared" si="1"/>
        <v>2.4413178294573643</v>
      </c>
      <c r="G46" s="21">
        <f t="shared" si="0"/>
        <v>3.0970649033402627E-2</v>
      </c>
      <c r="H46" s="21">
        <f t="shared" ref="H46:H51" si="2">G46*$J$46/$I$46</f>
        <v>2.9694329232623343E-2</v>
      </c>
      <c r="I46" s="571">
        <f>G46+G47+G50+G51+G48+G49</f>
        <v>3.3713389964852791E-2</v>
      </c>
      <c r="J46" s="571">
        <f>'[4]Calcul sous cat &gt;20'!N17/100</f>
        <v>3.2324040096300563E-2</v>
      </c>
    </row>
    <row r="47" spans="1:10" s="1" customFormat="1" ht="15" customHeight="1" x14ac:dyDescent="0.2">
      <c r="A47" s="568"/>
      <c r="B47" s="18" t="s">
        <v>62</v>
      </c>
      <c r="C47" s="19">
        <f>'[4]F 4 TRI _ Granulo'!K34</f>
        <v>8.3100775193798521E-2</v>
      </c>
      <c r="D47" s="20">
        <f>'[4]F 4 TRI _ Granulo'!H34</f>
        <v>5.0000000000000044E-2</v>
      </c>
      <c r="E47" s="20">
        <f>'[4]F 4 TRI _ Granulo'!E34</f>
        <v>0</v>
      </c>
      <c r="F47" s="20">
        <f t="shared" si="1"/>
        <v>0.13310077519379857</v>
      </c>
      <c r="G47" s="21">
        <f t="shared" si="0"/>
        <v>1.6885213980996525E-3</v>
      </c>
      <c r="H47" s="21">
        <f t="shared" si="2"/>
        <v>1.6189363760967304E-3</v>
      </c>
      <c r="I47" s="571"/>
      <c r="J47" s="571"/>
    </row>
    <row r="48" spans="1:10" s="1" customFormat="1" ht="15" customHeight="1" x14ac:dyDescent="0.2">
      <c r="A48" s="568"/>
      <c r="B48" s="18" t="s">
        <v>63</v>
      </c>
      <c r="C48" s="19">
        <f>'[4]F 4 TRI _ Granulo'!K35</f>
        <v>0</v>
      </c>
      <c r="D48" s="20">
        <f>'[4]F 4 TRI _ Granulo'!H35</f>
        <v>0</v>
      </c>
      <c r="E48" s="20">
        <f>'[4]F 4 TRI _ Granulo'!E35</f>
        <v>0</v>
      </c>
      <c r="F48" s="20">
        <f t="shared" si="1"/>
        <v>0</v>
      </c>
      <c r="G48" s="21">
        <f t="shared" si="0"/>
        <v>0</v>
      </c>
      <c r="H48" s="21">
        <f t="shared" si="2"/>
        <v>0</v>
      </c>
      <c r="I48" s="571"/>
      <c r="J48" s="571"/>
    </row>
    <row r="49" spans="1:10" s="1" customFormat="1" ht="15" customHeight="1" x14ac:dyDescent="0.2">
      <c r="A49" s="568"/>
      <c r="B49" s="18" t="s">
        <v>64</v>
      </c>
      <c r="C49" s="19">
        <f>'[4]F 4 TRI _ Granulo'!K36</f>
        <v>0</v>
      </c>
      <c r="D49" s="20">
        <f>'[4]F 4 TRI _ Granulo'!H36</f>
        <v>0</v>
      </c>
      <c r="E49" s="20">
        <f>'[4]F 4 TRI _ Granulo'!E36</f>
        <v>0</v>
      </c>
      <c r="F49" s="20">
        <f t="shared" si="1"/>
        <v>0</v>
      </c>
      <c r="G49" s="21">
        <f t="shared" si="0"/>
        <v>0</v>
      </c>
      <c r="H49" s="21">
        <f t="shared" si="2"/>
        <v>0</v>
      </c>
      <c r="I49" s="571"/>
      <c r="J49" s="571"/>
    </row>
    <row r="50" spans="1:10" s="1" customFormat="1" ht="15" customHeight="1" x14ac:dyDescent="0.2">
      <c r="A50" s="568"/>
      <c r="B50" s="18" t="s">
        <v>65</v>
      </c>
      <c r="C50" s="19">
        <f>'[4]F 4 TRI _ Granulo'!K37</f>
        <v>8.3100775193798521E-2</v>
      </c>
      <c r="D50" s="20">
        <f>'[4]F 4 TRI _ Granulo'!H37</f>
        <v>0</v>
      </c>
      <c r="E50" s="20">
        <f>'[4]F 4 TRI _ Granulo'!E37</f>
        <v>0</v>
      </c>
      <c r="F50" s="20">
        <f t="shared" si="1"/>
        <v>8.3100775193798521E-2</v>
      </c>
      <c r="G50" s="21">
        <f t="shared" si="0"/>
        <v>1.054219533350511E-3</v>
      </c>
      <c r="H50" s="21">
        <f t="shared" si="2"/>
        <v>1.0107744875804863E-3</v>
      </c>
      <c r="I50" s="571"/>
      <c r="J50" s="571"/>
    </row>
    <row r="51" spans="1:10" s="1" customFormat="1" ht="15" customHeight="1" x14ac:dyDescent="0.2">
      <c r="A51" s="570"/>
      <c r="B51" s="18" t="s">
        <v>66</v>
      </c>
      <c r="C51" s="19">
        <f>'[4]F 4 TRI _ Granulo'!K38</f>
        <v>0</v>
      </c>
      <c r="D51" s="20">
        <f>'[4]F 4 TRI _ Granulo'!H38</f>
        <v>0</v>
      </c>
      <c r="E51" s="20">
        <f>'[4]F 4 TRI _ Granulo'!E38</f>
        <v>0</v>
      </c>
      <c r="F51" s="20">
        <f t="shared" si="1"/>
        <v>0</v>
      </c>
      <c r="G51" s="21">
        <f t="shared" si="0"/>
        <v>0</v>
      </c>
      <c r="H51" s="21">
        <f t="shared" si="2"/>
        <v>0</v>
      </c>
      <c r="I51" s="571"/>
      <c r="J51" s="571"/>
    </row>
    <row r="52" spans="1:10" s="1" customFormat="1" ht="15" customHeight="1" x14ac:dyDescent="0.2">
      <c r="A52" s="247" t="s">
        <v>67</v>
      </c>
      <c r="B52" s="18" t="s">
        <v>68</v>
      </c>
      <c r="C52" s="19">
        <f>'[4]F 4 TRI _ Granulo'!K39</f>
        <v>0</v>
      </c>
      <c r="D52" s="20">
        <f>'[4]F 4 TRI _ Granulo'!H39</f>
        <v>3.0000000000000027E-2</v>
      </c>
      <c r="E52" s="20">
        <f>'[4]F 4 TRI _ Granulo'!E39</f>
        <v>0</v>
      </c>
      <c r="F52" s="20">
        <f t="shared" si="1"/>
        <v>3.0000000000000027E-2</v>
      </c>
      <c r="G52" s="21">
        <f t="shared" si="0"/>
        <v>3.8058111884948489E-4</v>
      </c>
      <c r="H52" s="21">
        <f>J52</f>
        <v>4.0351985237786645E-4</v>
      </c>
      <c r="I52" s="248">
        <f>G52</f>
        <v>3.8058111884948489E-4</v>
      </c>
      <c r="J52" s="248">
        <f>'[4]Calcul sous cat &gt;20'!N18/100</f>
        <v>4.0351985237786645E-4</v>
      </c>
    </row>
    <row r="53" spans="1:10" s="1" customFormat="1" ht="15" customHeight="1" x14ac:dyDescent="0.2">
      <c r="A53" s="567" t="s">
        <v>69</v>
      </c>
      <c r="B53" s="18" t="s">
        <v>121</v>
      </c>
      <c r="C53" s="19">
        <f>'[4]F 4 TRI _ Granulo'!K40</f>
        <v>0</v>
      </c>
      <c r="D53" s="20">
        <f>'[4]F 4 TRI _ Granulo'!H40</f>
        <v>0</v>
      </c>
      <c r="E53" s="20">
        <f>'[4]F 4 TRI _ Granulo'!E40</f>
        <v>0</v>
      </c>
      <c r="F53" s="20">
        <f t="shared" si="1"/>
        <v>0</v>
      </c>
      <c r="G53" s="21">
        <f t="shared" si="0"/>
        <v>0</v>
      </c>
      <c r="H53" s="243">
        <v>0</v>
      </c>
      <c r="I53" s="571">
        <f>SUM(G53:G62)</f>
        <v>0</v>
      </c>
      <c r="J53" s="571">
        <f>'[4]Calcul sous cat &gt;20'!N19/100</f>
        <v>0</v>
      </c>
    </row>
    <row r="54" spans="1:10" s="1" customFormat="1" ht="15" customHeight="1" x14ac:dyDescent="0.2">
      <c r="A54" s="568"/>
      <c r="B54" s="18" t="s">
        <v>70</v>
      </c>
      <c r="C54" s="19">
        <f>'[4]F 4 TRI _ Granulo'!K41</f>
        <v>0</v>
      </c>
      <c r="D54" s="20">
        <f>'[4]F 4 TRI _ Granulo'!H41</f>
        <v>0</v>
      </c>
      <c r="E54" s="20">
        <f>'[4]F 4 TRI _ Granulo'!E41</f>
        <v>0</v>
      </c>
      <c r="F54" s="20">
        <f t="shared" si="1"/>
        <v>0</v>
      </c>
      <c r="G54" s="21">
        <f t="shared" si="0"/>
        <v>0</v>
      </c>
      <c r="H54" s="243">
        <v>0</v>
      </c>
      <c r="I54" s="571"/>
      <c r="J54" s="571"/>
    </row>
    <row r="55" spans="1:10" s="1" customFormat="1" ht="15" customHeight="1" x14ac:dyDescent="0.2">
      <c r="A55" s="568"/>
      <c r="B55" s="18" t="s">
        <v>71</v>
      </c>
      <c r="C55" s="19">
        <f>'[4]F 4 TRI _ Granulo'!K42</f>
        <v>0</v>
      </c>
      <c r="D55" s="20">
        <f>'[4]F 4 TRI _ Granulo'!H42</f>
        <v>0</v>
      </c>
      <c r="E55" s="20">
        <f>'[4]F 4 TRI _ Granulo'!E42</f>
        <v>0</v>
      </c>
      <c r="F55" s="20">
        <f>SUM(C55:E55)</f>
        <v>0</v>
      </c>
      <c r="G55" s="21">
        <f t="shared" si="0"/>
        <v>0</v>
      </c>
      <c r="H55" s="243">
        <v>0</v>
      </c>
      <c r="I55" s="571"/>
      <c r="J55" s="571"/>
    </row>
    <row r="56" spans="1:10" s="1" customFormat="1" ht="15" customHeight="1" x14ac:dyDescent="0.2">
      <c r="A56" s="568"/>
      <c r="B56" s="18" t="s">
        <v>72</v>
      </c>
      <c r="C56" s="19">
        <f>'[4]F 4 TRI _ Granulo'!K43</f>
        <v>0</v>
      </c>
      <c r="D56" s="20">
        <f>'[4]F 4 TRI _ Granulo'!H43</f>
        <v>0</v>
      </c>
      <c r="E56" s="20">
        <f>'[4]F 4 TRI _ Granulo'!E43</f>
        <v>0</v>
      </c>
      <c r="F56" s="20">
        <f t="shared" si="1"/>
        <v>0</v>
      </c>
      <c r="G56" s="21">
        <f>F56/$F$64</f>
        <v>0</v>
      </c>
      <c r="H56" s="243">
        <v>0</v>
      </c>
      <c r="I56" s="571"/>
      <c r="J56" s="571"/>
    </row>
    <row r="57" spans="1:10" s="1" customFormat="1" ht="17.25" customHeight="1" x14ac:dyDescent="0.2">
      <c r="A57" s="568"/>
      <c r="B57" s="18" t="s">
        <v>122</v>
      </c>
      <c r="C57" s="19">
        <f>'[4]F 4 TRI _ Granulo'!K44</f>
        <v>0</v>
      </c>
      <c r="D57" s="20">
        <f>'[4]F 4 TRI _ Granulo'!H44</f>
        <v>0</v>
      </c>
      <c r="E57" s="20">
        <f>'[4]F 4 TRI _ Granulo'!E44</f>
        <v>0</v>
      </c>
      <c r="F57" s="20">
        <f t="shared" si="1"/>
        <v>0</v>
      </c>
      <c r="G57" s="21">
        <f t="shared" ref="G57:G62" si="3">F57/$F$64</f>
        <v>0</v>
      </c>
      <c r="H57" s="243">
        <v>0</v>
      </c>
      <c r="I57" s="571"/>
      <c r="J57" s="571"/>
    </row>
    <row r="58" spans="1:10" s="1" customFormat="1" ht="17.25" customHeight="1" x14ac:dyDescent="0.2">
      <c r="A58" s="568"/>
      <c r="B58" s="18" t="s">
        <v>123</v>
      </c>
      <c r="C58" s="19">
        <f>'[4]F 4 TRI _ Granulo'!K45</f>
        <v>0</v>
      </c>
      <c r="D58" s="20">
        <f>'[4]F 4 TRI _ Granulo'!H45</f>
        <v>0</v>
      </c>
      <c r="E58" s="20">
        <f>'[4]F 4 TRI _ Granulo'!E45</f>
        <v>0</v>
      </c>
      <c r="F58" s="20">
        <f t="shared" si="1"/>
        <v>0</v>
      </c>
      <c r="G58" s="21">
        <f t="shared" si="3"/>
        <v>0</v>
      </c>
      <c r="H58" s="243">
        <v>0</v>
      </c>
      <c r="I58" s="571"/>
      <c r="J58" s="571"/>
    </row>
    <row r="59" spans="1:10" s="1" customFormat="1" ht="25.5" customHeight="1" x14ac:dyDescent="0.2">
      <c r="A59" s="568"/>
      <c r="B59" s="18" t="s">
        <v>124</v>
      </c>
      <c r="C59" s="19">
        <f>'[4]F 4 TRI _ Granulo'!K46</f>
        <v>0</v>
      </c>
      <c r="D59" s="20">
        <f>'[4]F 4 TRI _ Granulo'!H46</f>
        <v>0</v>
      </c>
      <c r="E59" s="20">
        <f>'[4]F 4 TRI _ Granulo'!E46</f>
        <v>0</v>
      </c>
      <c r="F59" s="20">
        <f t="shared" si="1"/>
        <v>0</v>
      </c>
      <c r="G59" s="21">
        <f t="shared" si="3"/>
        <v>0</v>
      </c>
      <c r="H59" s="243">
        <v>0</v>
      </c>
      <c r="I59" s="571"/>
      <c r="J59" s="571"/>
    </row>
    <row r="60" spans="1:10" ht="25.5" x14ac:dyDescent="0.25">
      <c r="A60" s="568"/>
      <c r="B60" s="18" t="s">
        <v>125</v>
      </c>
      <c r="C60" s="19">
        <f>'[4]F 4 TRI _ Granulo'!K47</f>
        <v>0</v>
      </c>
      <c r="D60" s="20">
        <f>'[4]F 4 TRI _ Granulo'!H47</f>
        <v>0</v>
      </c>
      <c r="E60" s="20">
        <f>'[4]F 4 TRI _ Granulo'!E47</f>
        <v>0</v>
      </c>
      <c r="F60" s="20">
        <f t="shared" si="1"/>
        <v>0</v>
      </c>
      <c r="G60" s="21">
        <f t="shared" si="3"/>
        <v>0</v>
      </c>
      <c r="H60" s="243">
        <v>0</v>
      </c>
      <c r="I60" s="571"/>
      <c r="J60" s="571"/>
    </row>
    <row r="61" spans="1:10" ht="38.25" x14ac:dyDescent="0.25">
      <c r="A61" s="568"/>
      <c r="B61" s="18" t="s">
        <v>126</v>
      </c>
      <c r="C61" s="19">
        <f>'[4]F 4 TRI _ Granulo'!K48</f>
        <v>0</v>
      </c>
      <c r="D61" s="20">
        <f>'[4]F 4 TRI _ Granulo'!H48</f>
        <v>0</v>
      </c>
      <c r="E61" s="20">
        <f>'[4]F 4 TRI _ Granulo'!E48</f>
        <v>0</v>
      </c>
      <c r="F61" s="20">
        <f t="shared" si="1"/>
        <v>0</v>
      </c>
      <c r="G61" s="21">
        <f t="shared" si="3"/>
        <v>0</v>
      </c>
      <c r="H61" s="243">
        <v>0</v>
      </c>
      <c r="I61" s="571"/>
      <c r="J61" s="571"/>
    </row>
    <row r="62" spans="1:10" ht="51" x14ac:dyDescent="0.25">
      <c r="A62" s="569"/>
      <c r="B62" s="18" t="s">
        <v>73</v>
      </c>
      <c r="C62" s="19">
        <f>'[4]F 4 TRI _ Granulo'!K49</f>
        <v>0</v>
      </c>
      <c r="D62" s="20">
        <f>'[4]F 4 TRI _ Granulo'!H49</f>
        <v>0</v>
      </c>
      <c r="E62" s="20">
        <f>'[4]F 4 TRI _ Granulo'!E49</f>
        <v>0</v>
      </c>
      <c r="F62" s="20">
        <f t="shared" si="1"/>
        <v>0</v>
      </c>
      <c r="G62" s="21">
        <f t="shared" si="3"/>
        <v>0</v>
      </c>
      <c r="H62" s="244">
        <v>0</v>
      </c>
      <c r="I62" s="571"/>
      <c r="J62" s="571"/>
    </row>
    <row r="63" spans="1:10" x14ac:dyDescent="0.25">
      <c r="A63" s="22" t="s">
        <v>74</v>
      </c>
      <c r="B63" s="23">
        <f>'[4]F 3 _ Criblage et Tri'!C27+'[4]F 3 _ Criblage et Tri'!D27</f>
        <v>12.580000000000002</v>
      </c>
      <c r="C63" s="19">
        <f>'[4]F 4 TRI _ Granulo'!K50</f>
        <v>4.4874418604651174</v>
      </c>
      <c r="D63" s="20">
        <f>'[4]F 4 TRI _ Granulo'!H50</f>
        <v>0.40000000000000036</v>
      </c>
      <c r="E63" s="20">
        <f>'[4]F 4 TRI _ Granulo'!E50</f>
        <v>0</v>
      </c>
      <c r="F63" s="19">
        <f>SUM(B63:E63)</f>
        <v>17.467441860465122</v>
      </c>
      <c r="G63" s="21">
        <f t="shared" si="0"/>
        <v>0.22159261888980461</v>
      </c>
      <c r="H63" s="21">
        <f>J63</f>
        <v>0.10862864027606894</v>
      </c>
      <c r="I63" s="24">
        <f>G63</f>
        <v>0.22159261888980461</v>
      </c>
      <c r="J63" s="24">
        <f>'[4]Calcul sous cat &gt;20'!N20/100</f>
        <v>0.10862864027606894</v>
      </c>
    </row>
    <row r="64" spans="1:10" x14ac:dyDescent="0.25">
      <c r="A64" s="25" t="s">
        <v>25</v>
      </c>
      <c r="B64" s="90">
        <f>B63</f>
        <v>12.580000000000002</v>
      </c>
      <c r="C64" s="19">
        <f>SUM(C18:C63)</f>
        <v>45.206821705426371</v>
      </c>
      <c r="D64" s="19">
        <f>SUM(D18:D63)</f>
        <v>19.880000000000003</v>
      </c>
      <c r="E64" s="19">
        <f>SUM(E18:E63)</f>
        <v>1.1600000000000001</v>
      </c>
      <c r="F64" s="19">
        <f>SUM(B64:E64)</f>
        <v>78.826821705426369</v>
      </c>
      <c r="G64" s="21">
        <f t="shared" si="0"/>
        <v>1</v>
      </c>
      <c r="H64" s="21">
        <f>SUM(H18:H63)</f>
        <v>0.99999999999999978</v>
      </c>
      <c r="I64" s="24">
        <f>SUM(I18:I63)</f>
        <v>1</v>
      </c>
      <c r="J64" s="24">
        <f>SUM(J18:J63)</f>
        <v>0.99999999999999956</v>
      </c>
    </row>
    <row r="65" spans="1:10" ht="51.75" x14ac:dyDescent="0.25">
      <c r="A65" s="26" t="s">
        <v>75</v>
      </c>
      <c r="B65" s="235">
        <f>B64/$F$64</f>
        <v>0.15959034917088388</v>
      </c>
      <c r="C65" s="235">
        <f>C64/$F$64</f>
        <v>0.57349542614267768</v>
      </c>
      <c r="D65" s="235">
        <f>D64/$F$64</f>
        <v>0.25219842142425847</v>
      </c>
      <c r="E65" s="235">
        <f>E64/$F$64</f>
        <v>1.4715803262180071E-2</v>
      </c>
      <c r="F65" s="235">
        <f>F64/$F$64</f>
        <v>1</v>
      </c>
      <c r="G65" s="1"/>
      <c r="H65" s="1"/>
      <c r="I65" s="1"/>
      <c r="J65" s="1"/>
    </row>
  </sheetData>
  <mergeCells count="40">
    <mergeCell ref="B2:F2"/>
    <mergeCell ref="B11:C11"/>
    <mergeCell ref="D11:F11"/>
    <mergeCell ref="B3:F3"/>
    <mergeCell ref="A7:J7"/>
    <mergeCell ref="D9:F9"/>
    <mergeCell ref="D10:F10"/>
    <mergeCell ref="D12:F12"/>
    <mergeCell ref="A14:J14"/>
    <mergeCell ref="G16:G17"/>
    <mergeCell ref="H16:H17"/>
    <mergeCell ref="I16:I17"/>
    <mergeCell ref="J16:J17"/>
    <mergeCell ref="A18:A22"/>
    <mergeCell ref="I18:I22"/>
    <mergeCell ref="J18:J22"/>
    <mergeCell ref="A23:A27"/>
    <mergeCell ref="I23:I27"/>
    <mergeCell ref="J23:J27"/>
    <mergeCell ref="A28:A30"/>
    <mergeCell ref="I28:I30"/>
    <mergeCell ref="J28:J30"/>
    <mergeCell ref="A31:A34"/>
    <mergeCell ref="I31:I34"/>
    <mergeCell ref="J31:J34"/>
    <mergeCell ref="A36:A37"/>
    <mergeCell ref="I36:I37"/>
    <mergeCell ref="J36:J37"/>
    <mergeCell ref="A38:A42"/>
    <mergeCell ref="I38:I42"/>
    <mergeCell ref="J38:J42"/>
    <mergeCell ref="I53:I62"/>
    <mergeCell ref="J53:J62"/>
    <mergeCell ref="A44:A45"/>
    <mergeCell ref="I44:I45"/>
    <mergeCell ref="J44:J45"/>
    <mergeCell ref="A46:A51"/>
    <mergeCell ref="I46:I51"/>
    <mergeCell ref="J46:J51"/>
    <mergeCell ref="A53:A62"/>
  </mergeCells>
  <pageMargins left="0.70866141732283472" right="0.70866141732283472" top="0.74803149606299213" bottom="0.74803149606299213" header="0.31496062992125984" footer="0.31496062992125984"/>
  <pageSetup paperSize="9" scale="76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5"/>
  <sheetViews>
    <sheetView tabSelected="1" workbookViewId="0">
      <selection sqref="A1:J65"/>
    </sheetView>
  </sheetViews>
  <sheetFormatPr baseColWidth="10" defaultRowHeight="15" x14ac:dyDescent="0.25"/>
  <sheetData>
    <row r="1" spans="1:10" s="1" customFormat="1" ht="12.75" x14ac:dyDescent="0.2"/>
    <row r="2" spans="1:10" s="1" customFormat="1" ht="15.75" x14ac:dyDescent="0.25">
      <c r="A2" s="1" t="s">
        <v>0</v>
      </c>
      <c r="B2" s="582" t="str">
        <f>'[5]F 1 _ Echant et Séchage'!D5</f>
        <v>ROM-E15-PB-BAN</v>
      </c>
      <c r="C2" s="582"/>
      <c r="D2" s="582"/>
      <c r="E2" s="582"/>
      <c r="F2" s="582"/>
      <c r="G2" s="2"/>
      <c r="H2" s="2"/>
      <c r="I2" s="2"/>
      <c r="J2" s="2"/>
    </row>
    <row r="3" spans="1:10" s="1" customFormat="1" ht="12.75" x14ac:dyDescent="0.2">
      <c r="A3" s="1" t="s">
        <v>1</v>
      </c>
      <c r="B3" s="589" t="str">
        <f>'[5]F 1 _ Echant et Séchage'!D6</f>
        <v>CD 781 RH - BONDY - CAEE</v>
      </c>
      <c r="C3" s="589"/>
      <c r="D3" s="589"/>
      <c r="E3" s="589"/>
      <c r="F3" s="589"/>
      <c r="G3" s="3"/>
      <c r="H3" s="3"/>
      <c r="I3" s="3"/>
      <c r="J3" s="3"/>
    </row>
    <row r="4" spans="1:10" s="1" customFormat="1" ht="12.75" x14ac:dyDescent="0.2">
      <c r="A4" s="1" t="s">
        <v>2</v>
      </c>
      <c r="B4" s="249"/>
      <c r="C4" s="249" t="str">
        <f>'[5]F 1 _ Echant et Séchage'!D8</f>
        <v>ROMAINVILLE</v>
      </c>
      <c r="D4" s="249"/>
      <c r="E4" s="249"/>
      <c r="F4" s="249"/>
      <c r="G4" s="3"/>
      <c r="H4" s="3"/>
      <c r="I4" s="3"/>
      <c r="J4" s="3"/>
    </row>
    <row r="5" spans="1:10" s="1" customFormat="1" ht="12.75" x14ac:dyDescent="0.2">
      <c r="A5" s="1" t="s">
        <v>3</v>
      </c>
      <c r="B5" s="249"/>
      <c r="C5" s="249" t="str">
        <f>'[5]F 1 _ Echant et Séchage'!E15</f>
        <v>sec, ensoleillé</v>
      </c>
      <c r="D5" s="249"/>
      <c r="E5" s="249"/>
      <c r="F5" s="249"/>
      <c r="G5" s="3"/>
      <c r="H5" s="3"/>
      <c r="I5" s="3"/>
      <c r="J5" s="3"/>
    </row>
    <row r="6" spans="1:10" s="1" customFormat="1" ht="12.75" customHeight="1" x14ac:dyDescent="0.2"/>
    <row r="7" spans="1:10" s="1" customFormat="1" ht="18.75" customHeight="1" x14ac:dyDescent="0.2">
      <c r="A7" s="584" t="s">
        <v>4</v>
      </c>
      <c r="B7" s="584"/>
      <c r="C7" s="584"/>
      <c r="D7" s="584"/>
      <c r="E7" s="584"/>
      <c r="F7" s="584"/>
      <c r="G7" s="584"/>
      <c r="H7" s="584"/>
      <c r="I7" s="584"/>
      <c r="J7" s="584"/>
    </row>
    <row r="8" spans="1:10" s="1" customFormat="1" ht="12.75" x14ac:dyDescent="0.2">
      <c r="I8" s="4"/>
    </row>
    <row r="9" spans="1:10" s="1" customFormat="1" ht="12.75" x14ac:dyDescent="0.2">
      <c r="A9" s="1" t="s">
        <v>5</v>
      </c>
      <c r="B9" s="5">
        <f>'[5]F 1 _ Echant et Séchage'!B12</f>
        <v>42200</v>
      </c>
      <c r="D9" s="583" t="s">
        <v>6</v>
      </c>
      <c r="E9" s="583"/>
      <c r="F9" s="583"/>
      <c r="G9" s="6">
        <f>'[5]F 1 _ Echant et Séchage'!G19</f>
        <v>128.6</v>
      </c>
      <c r="H9" s="6"/>
      <c r="I9" s="7"/>
      <c r="J9" s="1" t="s">
        <v>7</v>
      </c>
    </row>
    <row r="10" spans="1:10" s="1" customFormat="1" ht="12.75" x14ac:dyDescent="0.2">
      <c r="A10" s="1" t="s">
        <v>8</v>
      </c>
      <c r="B10" s="8" t="str">
        <f>'[5]F 1 _ Echant et Séchage'!E12</f>
        <v>9H15</v>
      </c>
      <c r="D10" s="583" t="s">
        <v>9</v>
      </c>
      <c r="E10" s="583"/>
      <c r="F10" s="583"/>
      <c r="G10" s="249">
        <f>'[5]F 1 _ Echant et Séchage'!H26</f>
        <v>0.5</v>
      </c>
      <c r="H10" s="249"/>
      <c r="I10" s="9"/>
      <c r="J10" s="1" t="s">
        <v>10</v>
      </c>
    </row>
    <row r="11" spans="1:10" s="1" customFormat="1" ht="12.75" x14ac:dyDescent="0.2">
      <c r="B11" s="583"/>
      <c r="C11" s="583"/>
      <c r="D11" s="583" t="s">
        <v>11</v>
      </c>
      <c r="E11" s="583"/>
      <c r="F11" s="583"/>
      <c r="G11" s="10">
        <f>G9/1000/G10</f>
        <v>0.25719999999999998</v>
      </c>
      <c r="H11" s="10"/>
      <c r="I11" s="3"/>
      <c r="J11" s="3" t="s">
        <v>12</v>
      </c>
    </row>
    <row r="12" spans="1:10" s="1" customFormat="1" ht="12.75" x14ac:dyDescent="0.2">
      <c r="B12" s="7"/>
      <c r="D12" s="583" t="s">
        <v>13</v>
      </c>
      <c r="E12" s="583"/>
      <c r="F12" s="583"/>
      <c r="G12" s="236">
        <f>'[5]F 1 _ Echant et Séchage'!D51</f>
        <v>0.45878693623639183</v>
      </c>
      <c r="H12" s="11"/>
      <c r="I12" s="11"/>
    </row>
    <row r="13" spans="1:10" s="1" customFormat="1" ht="12.75" x14ac:dyDescent="0.2">
      <c r="B13" s="12"/>
      <c r="G13" s="234"/>
      <c r="H13" s="234"/>
      <c r="I13" s="234"/>
    </row>
    <row r="14" spans="1:10" s="1" customFormat="1" ht="18.75" customHeight="1" x14ac:dyDescent="0.2">
      <c r="A14" s="584" t="s">
        <v>14</v>
      </c>
      <c r="B14" s="584"/>
      <c r="C14" s="584"/>
      <c r="D14" s="584"/>
      <c r="E14" s="584"/>
      <c r="F14" s="584"/>
      <c r="G14" s="584"/>
      <c r="H14" s="584"/>
      <c r="I14" s="584"/>
      <c r="J14" s="584"/>
    </row>
    <row r="15" spans="1:10" s="1" customFormat="1" ht="15.75" customHeight="1" x14ac:dyDescent="0.2">
      <c r="A15" s="13"/>
      <c r="B15" s="13"/>
      <c r="C15" s="13"/>
      <c r="D15" s="13"/>
      <c r="E15" s="13"/>
      <c r="F15" s="13"/>
      <c r="G15" s="13"/>
      <c r="H15" s="13"/>
      <c r="I15" s="13"/>
      <c r="J15" s="13"/>
    </row>
    <row r="16" spans="1:10" s="1" customFormat="1" ht="27.75" customHeight="1" thickBot="1" x14ac:dyDescent="0.25">
      <c r="C16" s="14" t="s">
        <v>15</v>
      </c>
      <c r="D16" s="15"/>
      <c r="E16" s="15"/>
      <c r="F16" s="15"/>
      <c r="G16" s="585" t="s">
        <v>16</v>
      </c>
      <c r="H16" s="587" t="s">
        <v>17</v>
      </c>
      <c r="I16" s="585" t="s">
        <v>18</v>
      </c>
      <c r="J16" s="587" t="s">
        <v>19</v>
      </c>
    </row>
    <row r="17" spans="1:10" s="1" customFormat="1" ht="29.25" customHeight="1" thickBot="1" x14ac:dyDescent="0.25">
      <c r="A17" s="138" t="s">
        <v>20</v>
      </c>
      <c r="B17" s="139" t="s">
        <v>21</v>
      </c>
      <c r="C17" s="16" t="s">
        <v>22</v>
      </c>
      <c r="D17" s="16" t="s">
        <v>23</v>
      </c>
      <c r="E17" s="16" t="s">
        <v>24</v>
      </c>
      <c r="F17" s="17" t="s">
        <v>25</v>
      </c>
      <c r="G17" s="586"/>
      <c r="H17" s="588"/>
      <c r="I17" s="586"/>
      <c r="J17" s="588"/>
    </row>
    <row r="18" spans="1:10" s="1" customFormat="1" ht="15" customHeight="1" x14ac:dyDescent="0.2">
      <c r="A18" s="579" t="s">
        <v>26</v>
      </c>
      <c r="B18" s="18" t="s">
        <v>119</v>
      </c>
      <c r="C18" s="19">
        <f>'[5]F 4 TRI _ Granulo'!K5</f>
        <v>5.9035714285714294</v>
      </c>
      <c r="D18" s="20">
        <f>'[5]F 4 TRI _ Granulo'!H5</f>
        <v>1.9700000000000002</v>
      </c>
      <c r="E18" s="20">
        <f>'[5]F 4 TRI _ Granulo'!E5</f>
        <v>0</v>
      </c>
      <c r="F18" s="20">
        <f>SUM(C18:E18)</f>
        <v>7.8735714285714291</v>
      </c>
      <c r="G18" s="21">
        <f t="shared" ref="G18:G64" si="0">F18/$F$64</f>
        <v>0.11437969534719625</v>
      </c>
      <c r="H18" s="21">
        <f>G18*J18/I18</f>
        <v>0.22884937175975531</v>
      </c>
      <c r="I18" s="578">
        <f>G18+G19+G20+G21+G22</f>
        <v>0.15537708047980739</v>
      </c>
      <c r="J18" s="578">
        <f>'[5]Calcul sous cat &gt;20'!N8/100</f>
        <v>0.3108763941513723</v>
      </c>
    </row>
    <row r="19" spans="1:10" s="1" customFormat="1" ht="15" customHeight="1" x14ac:dyDescent="0.2">
      <c r="A19" s="580"/>
      <c r="B19" s="18" t="s">
        <v>27</v>
      </c>
      <c r="C19" s="19">
        <f>'[5]F 4 TRI _ Granulo'!K6</f>
        <v>1.8321428571428575</v>
      </c>
      <c r="D19" s="20">
        <f>'[5]F 4 TRI _ Granulo'!H6</f>
        <v>0.73</v>
      </c>
      <c r="E19" s="20">
        <f>'[5]F 4 TRI _ Granulo'!E6</f>
        <v>0</v>
      </c>
      <c r="F19" s="20">
        <f>SUM(C19:E19)</f>
        <v>2.5621428571428577</v>
      </c>
      <c r="G19" s="21">
        <f t="shared" si="0"/>
        <v>3.7220354459801597E-2</v>
      </c>
      <c r="H19" s="21">
        <f>G19*J18/I18</f>
        <v>7.4469989703550982E-2</v>
      </c>
      <c r="I19" s="578"/>
      <c r="J19" s="578"/>
    </row>
    <row r="20" spans="1:10" s="1" customFormat="1" ht="15" customHeight="1" x14ac:dyDescent="0.2">
      <c r="A20" s="580"/>
      <c r="B20" s="18" t="s">
        <v>28</v>
      </c>
      <c r="C20" s="19">
        <f>'[5]F 4 TRI _ Granulo'!K7</f>
        <v>0</v>
      </c>
      <c r="D20" s="20">
        <f>'[5]F 4 TRI _ Granulo'!H7</f>
        <v>0.19000000000000017</v>
      </c>
      <c r="E20" s="20">
        <f>'[5]F 4 TRI _ Granulo'!E7</f>
        <v>0</v>
      </c>
      <c r="F20" s="20">
        <f t="shared" ref="F20:F62" si="1">SUM(C20:E20)</f>
        <v>0.19000000000000017</v>
      </c>
      <c r="G20" s="21">
        <f t="shared" si="0"/>
        <v>2.7601377993608117E-3</v>
      </c>
      <c r="H20" s="21">
        <f>G20*J18/I18</f>
        <v>5.5224469643558897E-3</v>
      </c>
      <c r="I20" s="578"/>
      <c r="J20" s="578"/>
    </row>
    <row r="21" spans="1:10" s="1" customFormat="1" ht="15" customHeight="1" x14ac:dyDescent="0.2">
      <c r="A21" s="580"/>
      <c r="B21" s="18" t="s">
        <v>29</v>
      </c>
      <c r="C21" s="19">
        <f>'[5]F 4 TRI _ Granulo'!K8</f>
        <v>0</v>
      </c>
      <c r="D21" s="20">
        <f>'[5]F 4 TRI _ Granulo'!H8</f>
        <v>7.0000000000000062E-2</v>
      </c>
      <c r="E21" s="20">
        <f>'[5]F 4 TRI _ Granulo'!E8</f>
        <v>0</v>
      </c>
      <c r="F21" s="20">
        <f t="shared" si="1"/>
        <v>7.0000000000000062E-2</v>
      </c>
      <c r="G21" s="21">
        <f t="shared" si="0"/>
        <v>1.0168928734487202E-3</v>
      </c>
      <c r="H21" s="21">
        <f>G21*J18/I18</f>
        <v>2.0345857237100647E-3</v>
      </c>
      <c r="I21" s="578"/>
      <c r="J21" s="578"/>
    </row>
    <row r="22" spans="1:10" s="1" customFormat="1" ht="15" customHeight="1" x14ac:dyDescent="0.2">
      <c r="A22" s="581"/>
      <c r="B22" s="18" t="s">
        <v>30</v>
      </c>
      <c r="C22" s="19">
        <f>'[5]F 4 TRI _ Granulo'!K9</f>
        <v>0</v>
      </c>
      <c r="D22" s="20">
        <f>'[5]F 4 TRI _ Granulo'!H9</f>
        <v>0</v>
      </c>
      <c r="E22" s="20">
        <f>'[5]F 4 TRI _ Granulo'!E9</f>
        <v>0</v>
      </c>
      <c r="F22" s="20">
        <f t="shared" si="1"/>
        <v>0</v>
      </c>
      <c r="G22" s="21">
        <f t="shared" si="0"/>
        <v>0</v>
      </c>
      <c r="H22" s="21">
        <f>G22*J18/I18</f>
        <v>0</v>
      </c>
      <c r="I22" s="578"/>
      <c r="J22" s="578"/>
    </row>
    <row r="23" spans="1:10" s="1" customFormat="1" ht="15" customHeight="1" x14ac:dyDescent="0.2">
      <c r="A23" s="567" t="s">
        <v>31</v>
      </c>
      <c r="B23" s="18" t="s">
        <v>32</v>
      </c>
      <c r="C23" s="19">
        <f>'[5]F 4 TRI _ Granulo'!K10</f>
        <v>0.33928571428571463</v>
      </c>
      <c r="D23" s="20">
        <f>'[5]F 4 TRI _ Granulo'!H10</f>
        <v>0.55000000000000027</v>
      </c>
      <c r="E23" s="20">
        <f>'[5]F 4 TRI _ Granulo'!E10</f>
        <v>0</v>
      </c>
      <c r="F23" s="20">
        <f t="shared" si="1"/>
        <v>0.8892857142857149</v>
      </c>
      <c r="G23" s="21">
        <f t="shared" si="0"/>
        <v>1.2918690075955676E-2</v>
      </c>
      <c r="H23" s="21">
        <f>'[5]Calcul sous cat &gt;20'!N32/100</f>
        <v>1.075588247255883E-2</v>
      </c>
      <c r="I23" s="571">
        <f>G23+G24+G25+G26+G27</f>
        <v>7.9556302660523839E-2</v>
      </c>
      <c r="J23" s="571">
        <f>'[5]Calcul sous cat &gt;20'!N9/100</f>
        <v>6.5161125226759251E-2</v>
      </c>
    </row>
    <row r="24" spans="1:10" s="1" customFormat="1" ht="15" customHeight="1" x14ac:dyDescent="0.2">
      <c r="A24" s="568"/>
      <c r="B24" s="18" t="s">
        <v>33</v>
      </c>
      <c r="C24" s="19">
        <f>'[5]F 4 TRI _ Granulo'!K11</f>
        <v>1.2892857142857155</v>
      </c>
      <c r="D24" s="20">
        <f>'[5]F 4 TRI _ Granulo'!H11</f>
        <v>0.35000000000000009</v>
      </c>
      <c r="E24" s="20">
        <f>'[5]F 4 TRI _ Granulo'!E11</f>
        <v>0</v>
      </c>
      <c r="F24" s="20">
        <f t="shared" si="1"/>
        <v>1.6392857142857156</v>
      </c>
      <c r="G24" s="21">
        <f t="shared" si="0"/>
        <v>2.381397086290625E-2</v>
      </c>
      <c r="H24" s="21">
        <f>'[5]Calcul sous cat &gt;20'!N33/100</f>
        <v>1.9162766320638933E-2</v>
      </c>
      <c r="I24" s="571"/>
      <c r="J24" s="571"/>
    </row>
    <row r="25" spans="1:10" s="1" customFormat="1" ht="15" customHeight="1" x14ac:dyDescent="0.2">
      <c r="A25" s="568"/>
      <c r="B25" s="18" t="s">
        <v>34</v>
      </c>
      <c r="C25" s="19">
        <f>'[5]F 4 TRI _ Granulo'!K12</f>
        <v>0.20357142857142876</v>
      </c>
      <c r="D25" s="20">
        <f>'[5]F 4 TRI _ Granulo'!H12</f>
        <v>0</v>
      </c>
      <c r="E25" s="20">
        <f>'[5]F 4 TRI _ Granulo'!E12</f>
        <v>0</v>
      </c>
      <c r="F25" s="20">
        <f t="shared" si="1"/>
        <v>0.20357142857142876</v>
      </c>
      <c r="G25" s="21">
        <f t="shared" si="0"/>
        <v>2.9572904993151556E-3</v>
      </c>
      <c r="H25" s="21">
        <f>'[5]Calcul sous cat &gt;20'!N34/100</f>
        <v>2.3796899352427443E-3</v>
      </c>
      <c r="I25" s="571"/>
      <c r="J25" s="571"/>
    </row>
    <row r="26" spans="1:10" s="1" customFormat="1" ht="15" customHeight="1" x14ac:dyDescent="0.2">
      <c r="A26" s="568"/>
      <c r="B26" s="18" t="s">
        <v>35</v>
      </c>
      <c r="C26" s="19">
        <f>'[5]F 4 TRI _ Granulo'!K13</f>
        <v>0.47500000000000048</v>
      </c>
      <c r="D26" s="20">
        <f>'[5]F 4 TRI _ Granulo'!H13</f>
        <v>0.41000000000000014</v>
      </c>
      <c r="E26" s="20">
        <f>'[5]F 4 TRI _ Granulo'!E13</f>
        <v>0</v>
      </c>
      <c r="F26" s="20">
        <f t="shared" si="1"/>
        <v>0.88500000000000068</v>
      </c>
      <c r="G26" s="21">
        <f t="shared" si="0"/>
        <v>1.2856431328601673E-2</v>
      </c>
      <c r="H26" s="21">
        <f>'[5]Calcul sous cat &gt;20'!N35/100</f>
        <v>1.0447576460490791E-2</v>
      </c>
      <c r="I26" s="571"/>
      <c r="J26" s="571"/>
    </row>
    <row r="27" spans="1:10" s="1" customFormat="1" ht="15" customHeight="1" x14ac:dyDescent="0.2">
      <c r="A27" s="570"/>
      <c r="B27" s="18" t="s">
        <v>36</v>
      </c>
      <c r="C27" s="19">
        <f>'[5]F 4 TRI _ Granulo'!K14</f>
        <v>1.2892857142857155</v>
      </c>
      <c r="D27" s="20">
        <f>'[5]F 4 TRI _ Granulo'!H14</f>
        <v>0.57000000000000028</v>
      </c>
      <c r="E27" s="20">
        <f>'[5]F 4 TRI _ Granulo'!E14</f>
        <v>0</v>
      </c>
      <c r="F27" s="20">
        <f t="shared" si="1"/>
        <v>1.8592857142857158</v>
      </c>
      <c r="G27" s="21">
        <f t="shared" si="0"/>
        <v>2.7009919893745085E-2</v>
      </c>
      <c r="H27" s="21">
        <f>'[5]Calcul sous cat &gt;20'!N36/100</f>
        <v>2.2415210037827954E-2</v>
      </c>
      <c r="I27" s="571"/>
      <c r="J27" s="571"/>
    </row>
    <row r="28" spans="1:10" s="1" customFormat="1" ht="15" customHeight="1" x14ac:dyDescent="0.2">
      <c r="A28" s="567" t="s">
        <v>37</v>
      </c>
      <c r="B28" s="18" t="s">
        <v>38</v>
      </c>
      <c r="C28" s="19">
        <f>'[5]F 4 TRI _ Granulo'!K15</f>
        <v>1.8321428571428575</v>
      </c>
      <c r="D28" s="20">
        <f>'[5]F 4 TRI _ Granulo'!H15</f>
        <v>0.57000000000000028</v>
      </c>
      <c r="E28" s="20">
        <f>'[5]F 4 TRI _ Granulo'!E15</f>
        <v>0</v>
      </c>
      <c r="F28" s="20">
        <f t="shared" si="1"/>
        <v>2.4021428571428576</v>
      </c>
      <c r="G28" s="21">
        <f t="shared" si="0"/>
        <v>3.4896027891918813E-2</v>
      </c>
      <c r="H28" s="21">
        <f>'[5]Calcul sous cat &gt;20'!N37/100</f>
        <v>2.8419905020624036E-2</v>
      </c>
      <c r="I28" s="571">
        <f>G28+G29+G30</f>
        <v>6.8162951894741211E-2</v>
      </c>
      <c r="J28" s="571">
        <f>'[5]Calcul sous cat &gt;20'!N10/100</f>
        <v>5.5836558778553667E-2</v>
      </c>
    </row>
    <row r="29" spans="1:10" s="1" customFormat="1" ht="15" customHeight="1" x14ac:dyDescent="0.2">
      <c r="A29" s="568"/>
      <c r="B29" s="18" t="s">
        <v>39</v>
      </c>
      <c r="C29" s="19">
        <f>'[5]F 4 TRI _ Granulo'!K16</f>
        <v>0.33928571428571463</v>
      </c>
      <c r="D29" s="20">
        <f>'[5]F 4 TRI _ Granulo'!H16</f>
        <v>0.71</v>
      </c>
      <c r="E29" s="20">
        <f>'[5]F 4 TRI _ Granulo'!E16</f>
        <v>0</v>
      </c>
      <c r="F29" s="20">
        <f t="shared" si="1"/>
        <v>1.0492857142857146</v>
      </c>
      <c r="G29" s="21">
        <f t="shared" si="0"/>
        <v>1.5243016643838458E-2</v>
      </c>
      <c r="H29" s="21">
        <f>'[5]Calcul sous cat &gt;20'!N38/100</f>
        <v>1.2425573209768117E-2</v>
      </c>
      <c r="I29" s="571"/>
      <c r="J29" s="571"/>
    </row>
    <row r="30" spans="1:10" s="1" customFormat="1" ht="15" customHeight="1" x14ac:dyDescent="0.2">
      <c r="A30" s="570"/>
      <c r="B30" s="18" t="s">
        <v>40</v>
      </c>
      <c r="C30" s="19">
        <f>'[5]F 4 TRI _ Granulo'!K17</f>
        <v>0.61071428571428632</v>
      </c>
      <c r="D30" s="20">
        <f>'[5]F 4 TRI _ Granulo'!H17</f>
        <v>0.62999999999999989</v>
      </c>
      <c r="E30" s="20">
        <f>'[5]F 4 TRI _ Granulo'!E17</f>
        <v>0</v>
      </c>
      <c r="F30" s="20">
        <f t="shared" si="1"/>
        <v>1.2407142857142861</v>
      </c>
      <c r="G30" s="21">
        <f t="shared" si="0"/>
        <v>1.8023907358983939E-2</v>
      </c>
      <c r="H30" s="21">
        <f>'[5]Calcul sous cat &gt;20'!N39/100</f>
        <v>1.4991080548161511E-2</v>
      </c>
      <c r="I30" s="571"/>
      <c r="J30" s="571"/>
    </row>
    <row r="31" spans="1:10" s="1" customFormat="1" ht="15" customHeight="1" x14ac:dyDescent="0.2">
      <c r="A31" s="572" t="s">
        <v>41</v>
      </c>
      <c r="B31" s="18" t="s">
        <v>42</v>
      </c>
      <c r="C31" s="19">
        <f>'[5]F 4 TRI _ Granulo'!K18</f>
        <v>0</v>
      </c>
      <c r="D31" s="20">
        <f>'[5]F 4 TRI _ Granulo'!H18</f>
        <v>0.19000000000000017</v>
      </c>
      <c r="E31" s="20">
        <f>'[5]F 4 TRI _ Granulo'!E18</f>
        <v>0</v>
      </c>
      <c r="F31" s="20">
        <f t="shared" si="1"/>
        <v>0.19000000000000017</v>
      </c>
      <c r="G31" s="21">
        <f t="shared" si="0"/>
        <v>2.7601377993608117E-3</v>
      </c>
      <c r="H31" s="243">
        <f>G31*J31/I31</f>
        <v>2.845763284892785E-3</v>
      </c>
      <c r="I31" s="575">
        <f>G31+G32+G33+G34</f>
        <v>1.6591956169841875E-2</v>
      </c>
      <c r="J31" s="575">
        <f>'[5]Calcul sous cat &gt;20'!N11/100</f>
        <v>1.7106674783998362E-2</v>
      </c>
    </row>
    <row r="32" spans="1:10" s="1" customFormat="1" ht="15" customHeight="1" x14ac:dyDescent="0.2">
      <c r="A32" s="573"/>
      <c r="B32" s="18" t="s">
        <v>43</v>
      </c>
      <c r="C32" s="19">
        <f>'[5]F 4 TRI _ Granulo'!K19</f>
        <v>0.88214285714285812</v>
      </c>
      <c r="D32" s="20">
        <f>'[5]F 4 TRI _ Granulo'!H19</f>
        <v>7.0000000000000062E-2</v>
      </c>
      <c r="E32" s="20">
        <f>'[5]F 4 TRI _ Granulo'!E19</f>
        <v>0</v>
      </c>
      <c r="F32" s="20">
        <f t="shared" si="1"/>
        <v>0.95214285714285818</v>
      </c>
      <c r="G32" s="21">
        <f t="shared" si="0"/>
        <v>1.3831818370481063E-2</v>
      </c>
      <c r="H32" s="243">
        <f>G32*J31/I31</f>
        <v>1.4260911499105576E-2</v>
      </c>
      <c r="I32" s="576"/>
      <c r="J32" s="576"/>
    </row>
    <row r="33" spans="1:10" s="1" customFormat="1" ht="15" customHeight="1" x14ac:dyDescent="0.2">
      <c r="A33" s="573"/>
      <c r="B33" s="18" t="s">
        <v>44</v>
      </c>
      <c r="C33" s="19">
        <f>'[5]F 4 TRI _ Granulo'!K20</f>
        <v>0</v>
      </c>
      <c r="D33" s="20">
        <f>'[5]F 4 TRI _ Granulo'!H20</f>
        <v>0</v>
      </c>
      <c r="E33" s="20">
        <f>'[5]F 4 TRI _ Granulo'!E20</f>
        <v>0</v>
      </c>
      <c r="F33" s="20">
        <f t="shared" si="1"/>
        <v>0</v>
      </c>
      <c r="G33" s="21">
        <f t="shared" si="0"/>
        <v>0</v>
      </c>
      <c r="H33" s="175">
        <f>G33*J31/I31</f>
        <v>0</v>
      </c>
      <c r="I33" s="576"/>
      <c r="J33" s="576"/>
    </row>
    <row r="34" spans="1:10" s="1" customFormat="1" ht="15" customHeight="1" x14ac:dyDescent="0.2">
      <c r="A34" s="574"/>
      <c r="B34" s="18" t="s">
        <v>120</v>
      </c>
      <c r="C34" s="19">
        <f>'[5]F 4 TRI _ Granulo'!K21</f>
        <v>0</v>
      </c>
      <c r="D34" s="20">
        <f>'[5]F 4 TRI _ Granulo'!H21</f>
        <v>0</v>
      </c>
      <c r="E34" s="20">
        <f>'[5]F 4 TRI _ Granulo'!E21</f>
        <v>0</v>
      </c>
      <c r="F34" s="20">
        <f t="shared" si="1"/>
        <v>0</v>
      </c>
      <c r="G34" s="21">
        <f t="shared" si="0"/>
        <v>0</v>
      </c>
      <c r="H34" s="175">
        <f>G34*J31/I31</f>
        <v>0</v>
      </c>
      <c r="I34" s="577"/>
      <c r="J34" s="577"/>
    </row>
    <row r="35" spans="1:10" s="1" customFormat="1" ht="15" customHeight="1" x14ac:dyDescent="0.2">
      <c r="A35" s="245" t="s">
        <v>45</v>
      </c>
      <c r="B35" s="18" t="s">
        <v>46</v>
      </c>
      <c r="C35" s="19">
        <f>'[5]F 4 TRI _ Granulo'!K22</f>
        <v>0.61071428571428632</v>
      </c>
      <c r="D35" s="20">
        <f>'[5]F 4 TRI _ Granulo'!H22</f>
        <v>1.71</v>
      </c>
      <c r="E35" s="20">
        <f>'[5]F 4 TRI _ Granulo'!E22</f>
        <v>0</v>
      </c>
      <c r="F35" s="20">
        <f t="shared" si="1"/>
        <v>2.3207142857142862</v>
      </c>
      <c r="G35" s="21">
        <f t="shared" si="0"/>
        <v>3.3713111692192752E-2</v>
      </c>
      <c r="H35" s="21">
        <f>'[5]Calcul sous cat &gt;20'!N43/100</f>
        <v>2.7592197770056948E-2</v>
      </c>
      <c r="I35" s="246">
        <f>G35</f>
        <v>3.3713111692192752E-2</v>
      </c>
      <c r="J35" s="246">
        <f>'[5]Calcul sous cat &gt;20'!N12/100</f>
        <v>2.7592197770056948E-2</v>
      </c>
    </row>
    <row r="36" spans="1:10" s="1" customFormat="1" ht="15" customHeight="1" x14ac:dyDescent="0.2">
      <c r="A36" s="567" t="s">
        <v>47</v>
      </c>
      <c r="B36" s="18" t="s">
        <v>48</v>
      </c>
      <c r="C36" s="19">
        <f>'[5]F 4 TRI _ Granulo'!K23</f>
        <v>3.5964285714285729</v>
      </c>
      <c r="D36" s="20">
        <f>'[5]F 4 TRI _ Granulo'!H23</f>
        <v>0.87000000000000011</v>
      </c>
      <c r="E36" s="20">
        <f>'[5]F 4 TRI _ Granulo'!E23</f>
        <v>0</v>
      </c>
      <c r="F36" s="20">
        <f t="shared" si="1"/>
        <v>4.4664285714285725</v>
      </c>
      <c r="G36" s="21">
        <f t="shared" si="0"/>
        <v>6.4883991200763699E-2</v>
      </c>
      <c r="H36" s="21">
        <f>'[5]Calcul sous cat &gt;20'!N44/100</f>
        <v>5.4831301796513049E-2</v>
      </c>
      <c r="I36" s="571">
        <f>G36+G37</f>
        <v>8.6788693811480508E-2</v>
      </c>
      <c r="J36" s="571">
        <f>'[5]Calcul sous cat &gt;20'!N13/100</f>
        <v>7.306502077081041E-2</v>
      </c>
    </row>
    <row r="37" spans="1:10" s="1" customFormat="1" ht="15" customHeight="1" x14ac:dyDescent="0.2">
      <c r="A37" s="570"/>
      <c r="B37" s="18" t="s">
        <v>49</v>
      </c>
      <c r="C37" s="19">
        <f>'[5]F 4 TRI _ Granulo'!K24</f>
        <v>1.0178571428571437</v>
      </c>
      <c r="D37" s="20">
        <f>'[5]F 4 TRI _ Granulo'!H24</f>
        <v>0.49000000000000021</v>
      </c>
      <c r="E37" s="20">
        <f>'[5]F 4 TRI _ Granulo'!E24</f>
        <v>0</v>
      </c>
      <c r="F37" s="20">
        <f t="shared" si="1"/>
        <v>1.5078571428571439</v>
      </c>
      <c r="G37" s="21">
        <f t="shared" si="0"/>
        <v>2.1904702610716812E-2</v>
      </c>
      <c r="H37" s="21">
        <f>'[5]Calcul sous cat &gt;20'!N45/100</f>
        <v>1.8233718974297371E-2</v>
      </c>
      <c r="I37" s="571"/>
      <c r="J37" s="571"/>
    </row>
    <row r="38" spans="1:10" s="1" customFormat="1" ht="15" customHeight="1" x14ac:dyDescent="0.2">
      <c r="A38" s="567" t="s">
        <v>50</v>
      </c>
      <c r="B38" s="18" t="s">
        <v>51</v>
      </c>
      <c r="C38" s="19">
        <f>'[5]F 4 TRI _ Granulo'!K25</f>
        <v>0.74642857142857211</v>
      </c>
      <c r="D38" s="20">
        <f>'[5]F 4 TRI _ Granulo'!H25</f>
        <v>5.0300000000000011</v>
      </c>
      <c r="E38" s="20">
        <f>'[5]F 4 TRI _ Granulo'!E25</f>
        <v>0</v>
      </c>
      <c r="F38" s="20">
        <f t="shared" si="1"/>
        <v>5.776428571428573</v>
      </c>
      <c r="G38" s="21">
        <f t="shared" si="0"/>
        <v>8.3914414975304025E-2</v>
      </c>
      <c r="H38" s="21">
        <f>'[5]Calcul sous cat &gt;20'!N46/100</f>
        <v>7.8887294695536986E-2</v>
      </c>
      <c r="I38" s="571">
        <f>G38+G39+G40+G41+G42</f>
        <v>0.26062549288174985</v>
      </c>
      <c r="J38" s="571">
        <f>'[5]Calcul sous cat &gt;20'!N14/100</f>
        <v>0.24066412184306757</v>
      </c>
    </row>
    <row r="39" spans="1:10" s="1" customFormat="1" ht="15" customHeight="1" x14ac:dyDescent="0.2">
      <c r="A39" s="568"/>
      <c r="B39" s="18" t="s">
        <v>52</v>
      </c>
      <c r="C39" s="19">
        <f>'[5]F 4 TRI _ Granulo'!K26</f>
        <v>0.88214285714285812</v>
      </c>
      <c r="D39" s="20">
        <f>'[5]F 4 TRI _ Granulo'!H26</f>
        <v>1.2599999999999998</v>
      </c>
      <c r="E39" s="20">
        <f>'[5]F 4 TRI _ Granulo'!E26</f>
        <v>0</v>
      </c>
      <c r="F39" s="20">
        <f t="shared" si="1"/>
        <v>2.1421428571428578</v>
      </c>
      <c r="G39" s="21">
        <f t="shared" si="0"/>
        <v>3.1118997219109285E-2</v>
      </c>
      <c r="H39" s="21">
        <f>'[5]Calcul sous cat &gt;20'!N47/100</f>
        <v>2.6145068526650137E-2</v>
      </c>
      <c r="I39" s="571"/>
      <c r="J39" s="571"/>
    </row>
    <row r="40" spans="1:10" s="1" customFormat="1" ht="15" customHeight="1" x14ac:dyDescent="0.2">
      <c r="A40" s="568"/>
      <c r="B40" s="18" t="s">
        <v>53</v>
      </c>
      <c r="C40" s="19">
        <f>'[5]F 4 TRI _ Granulo'!K27</f>
        <v>0.33928571428571463</v>
      </c>
      <c r="D40" s="20">
        <f>'[5]F 4 TRI _ Granulo'!H27</f>
        <v>0.4700000000000002</v>
      </c>
      <c r="E40" s="20">
        <f>'[5]F 4 TRI _ Granulo'!E27</f>
        <v>0</v>
      </c>
      <c r="F40" s="20">
        <f t="shared" si="1"/>
        <v>0.80928571428571483</v>
      </c>
      <c r="G40" s="21">
        <f t="shared" si="0"/>
        <v>1.1756526792014282E-2</v>
      </c>
      <c r="H40" s="21">
        <f>'[5]Calcul sous cat &gt;20'!N48/100</f>
        <v>9.8755964558311302E-3</v>
      </c>
      <c r="I40" s="571"/>
      <c r="J40" s="571"/>
    </row>
    <row r="41" spans="1:10" s="1" customFormat="1" ht="15" customHeight="1" x14ac:dyDescent="0.2">
      <c r="A41" s="568"/>
      <c r="B41" s="18" t="s">
        <v>54</v>
      </c>
      <c r="C41" s="19">
        <f>'[5]F 4 TRI _ Granulo'!K28</f>
        <v>1.5607142857142855</v>
      </c>
      <c r="D41" s="20">
        <f>'[5]F 4 TRI _ Granulo'!H28</f>
        <v>0.4700000000000002</v>
      </c>
      <c r="E41" s="20">
        <f>'[5]F 4 TRI _ Granulo'!E28</f>
        <v>0</v>
      </c>
      <c r="F41" s="20">
        <f t="shared" si="1"/>
        <v>2.0307142857142857</v>
      </c>
      <c r="G41" s="21">
        <f t="shared" si="0"/>
        <v>2.9500269787905192E-2</v>
      </c>
      <c r="H41" s="21">
        <f>'[5]Calcul sous cat &gt;20'!N49/100</f>
        <v>2.7716841328626424E-2</v>
      </c>
      <c r="I41" s="571"/>
      <c r="J41" s="571"/>
    </row>
    <row r="42" spans="1:10" s="1" customFormat="1" ht="27" customHeight="1" x14ac:dyDescent="0.2">
      <c r="A42" s="570"/>
      <c r="B42" s="18" t="s">
        <v>55</v>
      </c>
      <c r="C42" s="19">
        <f>'[5]F 4 TRI _ Granulo'!K29</f>
        <v>5.632142857142858</v>
      </c>
      <c r="D42" s="20">
        <f>'[5]F 4 TRI _ Granulo'!H29</f>
        <v>1.5500000000000003</v>
      </c>
      <c r="E42" s="20">
        <f>'[5]F 4 TRI _ Granulo'!E29</f>
        <v>0</v>
      </c>
      <c r="F42" s="20">
        <f t="shared" si="1"/>
        <v>7.1821428571428587</v>
      </c>
      <c r="G42" s="21">
        <f t="shared" si="0"/>
        <v>0.10433528410741708</v>
      </c>
      <c r="H42" s="21">
        <f>'[5]Calcul sous cat &gt;20'!N50/100</f>
        <v>9.8039320836422861E-2</v>
      </c>
      <c r="I42" s="571"/>
      <c r="J42" s="571"/>
    </row>
    <row r="43" spans="1:10" s="1" customFormat="1" ht="26.25" customHeight="1" x14ac:dyDescent="0.2">
      <c r="A43" s="245" t="s">
        <v>56</v>
      </c>
      <c r="B43" s="18" t="s">
        <v>56</v>
      </c>
      <c r="C43" s="19">
        <f>'[5]F 4 TRI _ Granulo'!K30</f>
        <v>0</v>
      </c>
      <c r="D43" s="20">
        <f>'[5]F 4 TRI _ Granulo'!H30</f>
        <v>2.3699999999999997</v>
      </c>
      <c r="E43" s="20">
        <f>'[5]F 4 TRI _ Granulo'!E30</f>
        <v>0</v>
      </c>
      <c r="F43" s="20">
        <f t="shared" si="1"/>
        <v>2.3699999999999997</v>
      </c>
      <c r="G43" s="21">
        <f t="shared" si="0"/>
        <v>3.4429087286763776E-2</v>
      </c>
      <c r="H43" s="21">
        <f>J43</f>
        <v>2.8776107928219451E-2</v>
      </c>
      <c r="I43" s="246">
        <f>G43</f>
        <v>3.4429087286763776E-2</v>
      </c>
      <c r="J43" s="246">
        <f>'[5]Calcul sous cat &gt;20'!N15/100</f>
        <v>2.8776107928219451E-2</v>
      </c>
    </row>
    <row r="44" spans="1:10" s="1" customFormat="1" ht="15" customHeight="1" x14ac:dyDescent="0.2">
      <c r="A44" s="567" t="s">
        <v>57</v>
      </c>
      <c r="B44" s="18" t="s">
        <v>58</v>
      </c>
      <c r="C44" s="19">
        <f>'[5]F 4 TRI _ Granulo'!K31</f>
        <v>3.732142857142859</v>
      </c>
      <c r="D44" s="20">
        <f>'[5]F 4 TRI _ Granulo'!H31</f>
        <v>1.4700000000000002</v>
      </c>
      <c r="E44" s="20">
        <f>'[5]F 4 TRI _ Granulo'!E31</f>
        <v>0</v>
      </c>
      <c r="F44" s="20">
        <f t="shared" si="1"/>
        <v>5.2021428571428592</v>
      </c>
      <c r="G44" s="21">
        <f t="shared" si="0"/>
        <v>7.5571742829867602E-2</v>
      </c>
      <c r="H44" s="21">
        <f>G44*J44/I44</f>
        <v>6.1776642761410525E-2</v>
      </c>
      <c r="I44" s="571">
        <f>G44+G45</f>
        <v>9.8680114556095128E-2</v>
      </c>
      <c r="J44" s="571">
        <f>'[5]Calcul sous cat &gt;20'!N16/100</f>
        <v>8.0666740719622959E-2</v>
      </c>
    </row>
    <row r="45" spans="1:10" s="1" customFormat="1" ht="15" customHeight="1" x14ac:dyDescent="0.2">
      <c r="A45" s="570"/>
      <c r="B45" s="18" t="s">
        <v>59</v>
      </c>
      <c r="C45" s="19">
        <f>'[5]F 4 TRI _ Granulo'!K32</f>
        <v>1.5607142857142855</v>
      </c>
      <c r="D45" s="20">
        <f>'[5]F 4 TRI _ Granulo'!H32</f>
        <v>3.0000000000000027E-2</v>
      </c>
      <c r="E45" s="20">
        <f>'[5]F 4 TRI _ Granulo'!E32</f>
        <v>0</v>
      </c>
      <c r="F45" s="20">
        <f t="shared" si="1"/>
        <v>1.5907142857142855</v>
      </c>
      <c r="G45" s="21">
        <f t="shared" si="0"/>
        <v>2.3108371726227525E-2</v>
      </c>
      <c r="H45" s="21">
        <f>G45*J44/I44</f>
        <v>1.8890097958212435E-2</v>
      </c>
      <c r="I45" s="571"/>
      <c r="J45" s="571"/>
    </row>
    <row r="46" spans="1:10" s="1" customFormat="1" ht="15" customHeight="1" x14ac:dyDescent="0.2">
      <c r="A46" s="567" t="s">
        <v>60</v>
      </c>
      <c r="B46" s="18" t="s">
        <v>61</v>
      </c>
      <c r="C46" s="19">
        <f>'[5]F 4 TRI _ Granulo'!K33</f>
        <v>1.1535714285714298</v>
      </c>
      <c r="D46" s="20">
        <f>'[5]F 4 TRI _ Granulo'!H33</f>
        <v>0.51000000000000023</v>
      </c>
      <c r="E46" s="20">
        <f>'[5]F 4 TRI _ Granulo'!E33</f>
        <v>0</v>
      </c>
      <c r="F46" s="20">
        <f t="shared" si="1"/>
        <v>1.66357142857143</v>
      </c>
      <c r="G46" s="21">
        <f t="shared" si="0"/>
        <v>2.4166770431245602E-2</v>
      </c>
      <c r="H46" s="21">
        <f t="shared" ref="H46:H51" si="2">G46*$J$46/$I$46</f>
        <v>2.0398631901496374E-2</v>
      </c>
      <c r="I46" s="571">
        <f>G46+G47+G50+G51+G48+G49</f>
        <v>3.1274644087494308E-2</v>
      </c>
      <c r="J46" s="571">
        <f>'[5]Calcul sous cat &gt;20'!N17/100</f>
        <v>2.6398229519583542E-2</v>
      </c>
    </row>
    <row r="47" spans="1:10" s="1" customFormat="1" ht="15" customHeight="1" x14ac:dyDescent="0.2">
      <c r="A47" s="568"/>
      <c r="B47" s="18" t="s">
        <v>62</v>
      </c>
      <c r="C47" s="19">
        <f>'[5]F 4 TRI _ Granulo'!K34</f>
        <v>0.33928571428571463</v>
      </c>
      <c r="D47" s="20">
        <f>'[5]F 4 TRI _ Granulo'!H34</f>
        <v>0</v>
      </c>
      <c r="E47" s="20">
        <f>'[5]F 4 TRI _ Granulo'!E34</f>
        <v>0</v>
      </c>
      <c r="F47" s="20">
        <f t="shared" si="1"/>
        <v>0.33928571428571463</v>
      </c>
      <c r="G47" s="21">
        <f t="shared" si="0"/>
        <v>4.9288174988585927E-3</v>
      </c>
      <c r="H47" s="21">
        <f t="shared" si="2"/>
        <v>4.1603049176516865E-3</v>
      </c>
      <c r="I47" s="571"/>
      <c r="J47" s="571"/>
    </row>
    <row r="48" spans="1:10" s="1" customFormat="1" ht="15" customHeight="1" x14ac:dyDescent="0.2">
      <c r="A48" s="568"/>
      <c r="B48" s="18" t="s">
        <v>63</v>
      </c>
      <c r="C48" s="19">
        <f>'[5]F 4 TRI _ Granulo'!K35</f>
        <v>0</v>
      </c>
      <c r="D48" s="20">
        <f>'[5]F 4 TRI _ Granulo'!H35</f>
        <v>0</v>
      </c>
      <c r="E48" s="20">
        <f>'[5]F 4 TRI _ Granulo'!E35</f>
        <v>0</v>
      </c>
      <c r="F48" s="20">
        <f t="shared" si="1"/>
        <v>0</v>
      </c>
      <c r="G48" s="21">
        <f t="shared" si="0"/>
        <v>0</v>
      </c>
      <c r="H48" s="21">
        <f t="shared" si="2"/>
        <v>0</v>
      </c>
      <c r="I48" s="571"/>
      <c r="J48" s="571"/>
    </row>
    <row r="49" spans="1:10" s="1" customFormat="1" ht="15" customHeight="1" x14ac:dyDescent="0.2">
      <c r="A49" s="568"/>
      <c r="B49" s="18" t="s">
        <v>64</v>
      </c>
      <c r="C49" s="19">
        <f>'[5]F 4 TRI _ Granulo'!K36</f>
        <v>0</v>
      </c>
      <c r="D49" s="20">
        <f>'[5]F 4 TRI _ Granulo'!H36</f>
        <v>0</v>
      </c>
      <c r="E49" s="20">
        <f>'[5]F 4 TRI _ Granulo'!E36</f>
        <v>0</v>
      </c>
      <c r="F49" s="20">
        <f t="shared" si="1"/>
        <v>0</v>
      </c>
      <c r="G49" s="21">
        <f t="shared" si="0"/>
        <v>0</v>
      </c>
      <c r="H49" s="21">
        <f t="shared" si="2"/>
        <v>0</v>
      </c>
      <c r="I49" s="571"/>
      <c r="J49" s="571"/>
    </row>
    <row r="50" spans="1:10" s="1" customFormat="1" ht="15" customHeight="1" x14ac:dyDescent="0.2">
      <c r="A50" s="568"/>
      <c r="B50" s="18" t="s">
        <v>65</v>
      </c>
      <c r="C50" s="19">
        <f>'[5]F 4 TRI _ Granulo'!K37</f>
        <v>0</v>
      </c>
      <c r="D50" s="20">
        <f>'[5]F 4 TRI _ Granulo'!H37</f>
        <v>0.15000000000000013</v>
      </c>
      <c r="E50" s="20">
        <f>'[5]F 4 TRI _ Granulo'!E37</f>
        <v>0</v>
      </c>
      <c r="F50" s="20">
        <f t="shared" si="1"/>
        <v>0.15000000000000013</v>
      </c>
      <c r="G50" s="21">
        <f t="shared" si="0"/>
        <v>2.1790561573901144E-3</v>
      </c>
      <c r="H50" s="21">
        <f t="shared" si="2"/>
        <v>1.8392927004354824E-3</v>
      </c>
      <c r="I50" s="571"/>
      <c r="J50" s="571"/>
    </row>
    <row r="51" spans="1:10" s="1" customFormat="1" ht="15" customHeight="1" x14ac:dyDescent="0.2">
      <c r="A51" s="570"/>
      <c r="B51" s="18" t="s">
        <v>66</v>
      </c>
      <c r="C51" s="19">
        <f>'[5]F 4 TRI _ Granulo'!K38</f>
        <v>0</v>
      </c>
      <c r="D51" s="20">
        <f>'[5]F 4 TRI _ Granulo'!H38</f>
        <v>0</v>
      </c>
      <c r="E51" s="20">
        <f>'[5]F 4 TRI _ Granulo'!E38</f>
        <v>0</v>
      </c>
      <c r="F51" s="20">
        <f t="shared" si="1"/>
        <v>0</v>
      </c>
      <c r="G51" s="21">
        <f t="shared" si="0"/>
        <v>0</v>
      </c>
      <c r="H51" s="21">
        <f t="shared" si="2"/>
        <v>0</v>
      </c>
      <c r="I51" s="571"/>
      <c r="J51" s="571"/>
    </row>
    <row r="52" spans="1:10" s="1" customFormat="1" ht="15" customHeight="1" x14ac:dyDescent="0.2">
      <c r="A52" s="247" t="s">
        <v>67</v>
      </c>
      <c r="B52" s="18" t="s">
        <v>68</v>
      </c>
      <c r="C52" s="19">
        <f>'[5]F 4 TRI _ Granulo'!K39</f>
        <v>1.0178571428571437</v>
      </c>
      <c r="D52" s="20">
        <f>'[5]F 4 TRI _ Granulo'!H39</f>
        <v>0.19000000000000017</v>
      </c>
      <c r="E52" s="20">
        <f>'[5]F 4 TRI _ Granulo'!E39</f>
        <v>0</v>
      </c>
      <c r="F52" s="20">
        <f t="shared" si="1"/>
        <v>1.2078571428571439</v>
      </c>
      <c r="G52" s="21">
        <f t="shared" si="0"/>
        <v>1.7546590295936589E-2</v>
      </c>
      <c r="H52" s="21">
        <f>J52</f>
        <v>1.6378251547965964E-2</v>
      </c>
      <c r="I52" s="248">
        <f>G52</f>
        <v>1.7546590295936589E-2</v>
      </c>
      <c r="J52" s="248">
        <f>'[5]Calcul sous cat &gt;20'!N18/100</f>
        <v>1.6378251547965964E-2</v>
      </c>
    </row>
    <row r="53" spans="1:10" s="1" customFormat="1" ht="15" customHeight="1" x14ac:dyDescent="0.2">
      <c r="A53" s="567" t="s">
        <v>69</v>
      </c>
      <c r="B53" s="18" t="s">
        <v>121</v>
      </c>
      <c r="C53" s="19">
        <f>'[5]F 4 TRI _ Granulo'!K40</f>
        <v>0</v>
      </c>
      <c r="D53" s="20">
        <f>'[5]F 4 TRI _ Granulo'!H40</f>
        <v>0</v>
      </c>
      <c r="E53" s="20">
        <f>'[5]F 4 TRI _ Granulo'!E40</f>
        <v>0</v>
      </c>
      <c r="F53" s="20">
        <f t="shared" si="1"/>
        <v>0</v>
      </c>
      <c r="G53" s="21">
        <f t="shared" si="0"/>
        <v>0</v>
      </c>
      <c r="H53" s="243">
        <v>0</v>
      </c>
      <c r="I53" s="571">
        <f>SUM(G53:G62)</f>
        <v>0</v>
      </c>
      <c r="J53" s="571">
        <f>'[5]Calcul sous cat &gt;20'!N19/100</f>
        <v>0</v>
      </c>
    </row>
    <row r="54" spans="1:10" s="1" customFormat="1" ht="15" customHeight="1" x14ac:dyDescent="0.2">
      <c r="A54" s="568"/>
      <c r="B54" s="18" t="s">
        <v>70</v>
      </c>
      <c r="C54" s="19">
        <f>'[5]F 4 TRI _ Granulo'!K41</f>
        <v>0</v>
      </c>
      <c r="D54" s="20">
        <f>'[5]F 4 TRI _ Granulo'!H41</f>
        <v>0</v>
      </c>
      <c r="E54" s="20">
        <f>'[5]F 4 TRI _ Granulo'!E41</f>
        <v>0</v>
      </c>
      <c r="F54" s="20">
        <f t="shared" si="1"/>
        <v>0</v>
      </c>
      <c r="G54" s="21">
        <f t="shared" si="0"/>
        <v>0</v>
      </c>
      <c r="H54" s="243">
        <v>0</v>
      </c>
      <c r="I54" s="571"/>
      <c r="J54" s="571"/>
    </row>
    <row r="55" spans="1:10" s="1" customFormat="1" ht="15" customHeight="1" x14ac:dyDescent="0.2">
      <c r="A55" s="568"/>
      <c r="B55" s="18" t="s">
        <v>71</v>
      </c>
      <c r="C55" s="19">
        <f>'[5]F 4 TRI _ Granulo'!K42</f>
        <v>0</v>
      </c>
      <c r="D55" s="20">
        <f>'[5]F 4 TRI _ Granulo'!H42</f>
        <v>0</v>
      </c>
      <c r="E55" s="20">
        <f>'[5]F 4 TRI _ Granulo'!E42</f>
        <v>0</v>
      </c>
      <c r="F55" s="20">
        <f>SUM(C55:E55)</f>
        <v>0</v>
      </c>
      <c r="G55" s="21">
        <f t="shared" si="0"/>
        <v>0</v>
      </c>
      <c r="H55" s="243">
        <v>0</v>
      </c>
      <c r="I55" s="571"/>
      <c r="J55" s="571"/>
    </row>
    <row r="56" spans="1:10" s="1" customFormat="1" ht="15" customHeight="1" x14ac:dyDescent="0.2">
      <c r="A56" s="568"/>
      <c r="B56" s="18" t="s">
        <v>72</v>
      </c>
      <c r="C56" s="19">
        <f>'[5]F 4 TRI _ Granulo'!K43</f>
        <v>0</v>
      </c>
      <c r="D56" s="20">
        <f>'[5]F 4 TRI _ Granulo'!H43</f>
        <v>0</v>
      </c>
      <c r="E56" s="20">
        <f>'[5]F 4 TRI _ Granulo'!E43</f>
        <v>0</v>
      </c>
      <c r="F56" s="20">
        <f t="shared" si="1"/>
        <v>0</v>
      </c>
      <c r="G56" s="21">
        <f>F56/$F$64</f>
        <v>0</v>
      </c>
      <c r="H56" s="243">
        <v>0</v>
      </c>
      <c r="I56" s="571"/>
      <c r="J56" s="571"/>
    </row>
    <row r="57" spans="1:10" s="1" customFormat="1" ht="17.25" customHeight="1" x14ac:dyDescent="0.2">
      <c r="A57" s="568"/>
      <c r="B57" s="18" t="s">
        <v>122</v>
      </c>
      <c r="C57" s="19">
        <f>'[5]F 4 TRI _ Granulo'!K44</f>
        <v>0</v>
      </c>
      <c r="D57" s="20">
        <f>'[5]F 4 TRI _ Granulo'!H44</f>
        <v>0</v>
      </c>
      <c r="E57" s="20">
        <f>'[5]F 4 TRI _ Granulo'!E44</f>
        <v>0</v>
      </c>
      <c r="F57" s="20">
        <f t="shared" si="1"/>
        <v>0</v>
      </c>
      <c r="G57" s="21">
        <f t="shared" ref="G57:G62" si="3">F57/$F$64</f>
        <v>0</v>
      </c>
      <c r="H57" s="243">
        <v>0</v>
      </c>
      <c r="I57" s="571"/>
      <c r="J57" s="571"/>
    </row>
    <row r="58" spans="1:10" s="1" customFormat="1" ht="17.25" customHeight="1" x14ac:dyDescent="0.2">
      <c r="A58" s="568"/>
      <c r="B58" s="18" t="s">
        <v>123</v>
      </c>
      <c r="C58" s="19">
        <f>'[5]F 4 TRI _ Granulo'!K45</f>
        <v>0</v>
      </c>
      <c r="D58" s="20">
        <f>'[5]F 4 TRI _ Granulo'!H45</f>
        <v>0</v>
      </c>
      <c r="E58" s="20">
        <f>'[5]F 4 TRI _ Granulo'!E45</f>
        <v>0</v>
      </c>
      <c r="F58" s="20">
        <f t="shared" si="1"/>
        <v>0</v>
      </c>
      <c r="G58" s="21">
        <f t="shared" si="3"/>
        <v>0</v>
      </c>
      <c r="H58" s="243">
        <v>0</v>
      </c>
      <c r="I58" s="571"/>
      <c r="J58" s="571"/>
    </row>
    <row r="59" spans="1:10" s="1" customFormat="1" ht="25.5" customHeight="1" x14ac:dyDescent="0.2">
      <c r="A59" s="568"/>
      <c r="B59" s="18" t="s">
        <v>124</v>
      </c>
      <c r="C59" s="19">
        <f>'[5]F 4 TRI _ Granulo'!K46</f>
        <v>0</v>
      </c>
      <c r="D59" s="20">
        <f>'[5]F 4 TRI _ Granulo'!H46</f>
        <v>0</v>
      </c>
      <c r="E59" s="20">
        <f>'[5]F 4 TRI _ Granulo'!E46</f>
        <v>0</v>
      </c>
      <c r="F59" s="20">
        <f t="shared" si="1"/>
        <v>0</v>
      </c>
      <c r="G59" s="21">
        <f t="shared" si="3"/>
        <v>0</v>
      </c>
      <c r="H59" s="243">
        <v>0</v>
      </c>
      <c r="I59" s="571"/>
      <c r="J59" s="571"/>
    </row>
    <row r="60" spans="1:10" ht="25.5" x14ac:dyDescent="0.25">
      <c r="A60" s="568"/>
      <c r="B60" s="18" t="s">
        <v>125</v>
      </c>
      <c r="C60" s="19">
        <f>'[5]F 4 TRI _ Granulo'!K47</f>
        <v>0</v>
      </c>
      <c r="D60" s="20">
        <f>'[5]F 4 TRI _ Granulo'!H47</f>
        <v>0</v>
      </c>
      <c r="E60" s="20">
        <f>'[5]F 4 TRI _ Granulo'!E47</f>
        <v>0</v>
      </c>
      <c r="F60" s="20">
        <f t="shared" si="1"/>
        <v>0</v>
      </c>
      <c r="G60" s="21">
        <f t="shared" si="3"/>
        <v>0</v>
      </c>
      <c r="H60" s="243">
        <v>0</v>
      </c>
      <c r="I60" s="571"/>
      <c r="J60" s="571"/>
    </row>
    <row r="61" spans="1:10" ht="38.25" x14ac:dyDescent="0.25">
      <c r="A61" s="568"/>
      <c r="B61" s="18" t="s">
        <v>126</v>
      </c>
      <c r="C61" s="19">
        <f>'[5]F 4 TRI _ Granulo'!K48</f>
        <v>0</v>
      </c>
      <c r="D61" s="20">
        <f>'[5]F 4 TRI _ Granulo'!H48</f>
        <v>0</v>
      </c>
      <c r="E61" s="20">
        <f>'[5]F 4 TRI _ Granulo'!E48</f>
        <v>0</v>
      </c>
      <c r="F61" s="20">
        <f t="shared" si="1"/>
        <v>0</v>
      </c>
      <c r="G61" s="21">
        <f t="shared" si="3"/>
        <v>0</v>
      </c>
      <c r="H61" s="243">
        <v>0</v>
      </c>
      <c r="I61" s="571"/>
      <c r="J61" s="571"/>
    </row>
    <row r="62" spans="1:10" ht="51" x14ac:dyDescent="0.25">
      <c r="A62" s="569"/>
      <c r="B62" s="18" t="s">
        <v>73</v>
      </c>
      <c r="C62" s="19">
        <f>'[5]F 4 TRI _ Granulo'!K49</f>
        <v>0</v>
      </c>
      <c r="D62" s="20">
        <f>'[5]F 4 TRI _ Granulo'!H49</f>
        <v>0</v>
      </c>
      <c r="E62" s="20">
        <f>'[5]F 4 TRI _ Granulo'!E49</f>
        <v>0</v>
      </c>
      <c r="F62" s="20">
        <f t="shared" si="1"/>
        <v>0</v>
      </c>
      <c r="G62" s="21">
        <f t="shared" si="3"/>
        <v>0</v>
      </c>
      <c r="H62" s="243">
        <v>0</v>
      </c>
      <c r="I62" s="571"/>
      <c r="J62" s="571"/>
    </row>
    <row r="63" spans="1:10" x14ac:dyDescent="0.25">
      <c r="A63" s="22" t="s">
        <v>74</v>
      </c>
      <c r="B63" s="23">
        <f>'[5]F 3 _ Criblage et Tri'!C27+'[5]F 3 _ Criblage et Tri'!D27</f>
        <v>7.4</v>
      </c>
      <c r="C63" s="19">
        <f>'[5]F 4 TRI _ Granulo'!K50</f>
        <v>0.27142857142857169</v>
      </c>
      <c r="D63" s="20">
        <f>'[5]F 4 TRI _ Granulo'!H50</f>
        <v>0.40000000000000036</v>
      </c>
      <c r="E63" s="20">
        <f>'[5]F 4 TRI _ Granulo'!E50</f>
        <v>0</v>
      </c>
      <c r="F63" s="19">
        <f>SUM(B63:E63)</f>
        <v>8.071428571428573</v>
      </c>
      <c r="G63" s="21">
        <f t="shared" si="0"/>
        <v>0.11725397418337274</v>
      </c>
      <c r="H63" s="21">
        <f>J63</f>
        <v>5.7478576959989681E-2</v>
      </c>
      <c r="I63" s="24">
        <f>G63</f>
        <v>0.11725397418337274</v>
      </c>
      <c r="J63" s="24">
        <f>'[5]Calcul sous cat &gt;20'!N20/100</f>
        <v>5.7478576959989681E-2</v>
      </c>
    </row>
    <row r="64" spans="1:10" x14ac:dyDescent="0.25">
      <c r="A64" s="25" t="s">
        <v>25</v>
      </c>
      <c r="B64" s="90">
        <f>B63</f>
        <v>7.4</v>
      </c>
      <c r="C64" s="19">
        <f>SUM(C18:C63)</f>
        <v>37.457142857142884</v>
      </c>
      <c r="D64" s="19">
        <f>SUM(D18:D63)</f>
        <v>23.980000000000004</v>
      </c>
      <c r="E64" s="19">
        <f>SUM(E18:E63)</f>
        <v>0</v>
      </c>
      <c r="F64" s="19">
        <f>SUM(B64:E64)</f>
        <v>68.837142857142879</v>
      </c>
      <c r="G64" s="21">
        <f t="shared" si="0"/>
        <v>1</v>
      </c>
      <c r="H64" s="21">
        <f>SUM(H18:H63)</f>
        <v>1</v>
      </c>
      <c r="I64" s="24">
        <f>SUM(I18:I63)</f>
        <v>1</v>
      </c>
      <c r="J64" s="24">
        <f>SUM(J18:J63)</f>
        <v>1.0000000000000002</v>
      </c>
    </row>
    <row r="65" spans="1:10" ht="51.75" x14ac:dyDescent="0.25">
      <c r="A65" s="26" t="s">
        <v>75</v>
      </c>
      <c r="B65" s="235">
        <f>B64/$F$64</f>
        <v>0.1075001037645789</v>
      </c>
      <c r="C65" s="235">
        <f>C64/$F$64</f>
        <v>0.54414145187398855</v>
      </c>
      <c r="D65" s="235">
        <f>D64/$F$64</f>
        <v>0.34835844436143271</v>
      </c>
      <c r="E65" s="235">
        <f>E64/$F$64</f>
        <v>0</v>
      </c>
      <c r="F65" s="235">
        <f>F64/$F$64</f>
        <v>1</v>
      </c>
      <c r="G65" s="1"/>
      <c r="H65" s="1"/>
      <c r="I65" s="1"/>
      <c r="J65" s="1"/>
    </row>
  </sheetData>
  <mergeCells count="40">
    <mergeCell ref="B2:F2"/>
    <mergeCell ref="B11:C11"/>
    <mergeCell ref="D11:F11"/>
    <mergeCell ref="B3:F3"/>
    <mergeCell ref="A7:J7"/>
    <mergeCell ref="D9:F9"/>
    <mergeCell ref="D10:F10"/>
    <mergeCell ref="D12:F12"/>
    <mergeCell ref="A14:J14"/>
    <mergeCell ref="G16:G17"/>
    <mergeCell ref="H16:H17"/>
    <mergeCell ref="I16:I17"/>
    <mergeCell ref="J16:J17"/>
    <mergeCell ref="A18:A22"/>
    <mergeCell ref="I18:I22"/>
    <mergeCell ref="J18:J22"/>
    <mergeCell ref="A23:A27"/>
    <mergeCell ref="I23:I27"/>
    <mergeCell ref="J23:J27"/>
    <mergeCell ref="A28:A30"/>
    <mergeCell ref="I28:I30"/>
    <mergeCell ref="J28:J30"/>
    <mergeCell ref="A31:A34"/>
    <mergeCell ref="I31:I34"/>
    <mergeCell ref="J31:J34"/>
    <mergeCell ref="A36:A37"/>
    <mergeCell ref="I36:I37"/>
    <mergeCell ref="J36:J37"/>
    <mergeCell ref="A38:A42"/>
    <mergeCell ref="I38:I42"/>
    <mergeCell ref="J38:J42"/>
    <mergeCell ref="I53:I62"/>
    <mergeCell ref="J53:J62"/>
    <mergeCell ref="A44:A45"/>
    <mergeCell ref="I44:I45"/>
    <mergeCell ref="J44:J45"/>
    <mergeCell ref="A46:A51"/>
    <mergeCell ref="I46:I51"/>
    <mergeCell ref="J46:J51"/>
    <mergeCell ref="A53:A62"/>
  </mergeCells>
  <pageMargins left="0.70866141732283472" right="0.70866141732283472" top="0.74803149606299213" bottom="0.74803149606299213" header="0.31496062992125984" footer="0.31496062992125984"/>
  <pageSetup paperSize="9" scale="76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5"/>
  <sheetViews>
    <sheetView workbookViewId="0">
      <selection activeCell="K27" sqref="K27"/>
    </sheetView>
  </sheetViews>
  <sheetFormatPr baseColWidth="10" defaultRowHeight="15" x14ac:dyDescent="0.25"/>
  <sheetData>
    <row r="1" spans="1:10" x14ac:dyDescent="0.2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5.75" x14ac:dyDescent="0.25">
      <c r="A2" s="1" t="s">
        <v>0</v>
      </c>
      <c r="B2" s="582" t="str">
        <f>'[6]F 1 _ Echant et Séchage'!D5</f>
        <v>ROM-E15-PB-PAR</v>
      </c>
      <c r="C2" s="582"/>
      <c r="D2" s="582"/>
      <c r="E2" s="582"/>
      <c r="F2" s="582"/>
      <c r="G2" s="2"/>
      <c r="H2" s="2"/>
      <c r="I2" s="2"/>
      <c r="J2" s="2"/>
    </row>
    <row r="3" spans="1:10" x14ac:dyDescent="0.25">
      <c r="A3" s="1" t="s">
        <v>1</v>
      </c>
      <c r="B3" s="589" t="str">
        <f>'[6]F 1 _ Echant et Séchage'!D6</f>
        <v>869 QCA 75 - Paris 20e</v>
      </c>
      <c r="C3" s="589"/>
      <c r="D3" s="589"/>
      <c r="E3" s="589"/>
      <c r="F3" s="589"/>
      <c r="G3" s="3"/>
      <c r="H3" s="3"/>
      <c r="I3" s="3"/>
      <c r="J3" s="3"/>
    </row>
    <row r="4" spans="1:10" x14ac:dyDescent="0.25">
      <c r="A4" s="1" t="s">
        <v>2</v>
      </c>
      <c r="B4" s="249"/>
      <c r="C4" s="249" t="str">
        <f>'[6]F 1 _ Echant et Séchage'!D8</f>
        <v>Romainville</v>
      </c>
      <c r="D4" s="249"/>
      <c r="E4" s="249"/>
      <c r="F4" s="249"/>
      <c r="G4" s="3"/>
      <c r="H4" s="3"/>
      <c r="I4" s="3"/>
      <c r="J4" s="3"/>
    </row>
    <row r="5" spans="1:10" x14ac:dyDescent="0.25">
      <c r="A5" s="1" t="s">
        <v>3</v>
      </c>
      <c r="B5" s="249"/>
      <c r="C5" s="249" t="str">
        <f>'[6]F 1 _ Echant et Séchage'!E15</f>
        <v>sec, ensoleillé</v>
      </c>
      <c r="D5" s="249"/>
      <c r="E5" s="249"/>
      <c r="F5" s="249"/>
      <c r="G5" s="3"/>
      <c r="H5" s="3"/>
      <c r="I5" s="3"/>
      <c r="J5" s="3"/>
    </row>
    <row r="6" spans="1:10" x14ac:dyDescent="0.25">
      <c r="A6" s="1"/>
      <c r="B6" s="1"/>
      <c r="C6" s="1"/>
      <c r="D6" s="1"/>
      <c r="E6" s="1"/>
      <c r="F6" s="1"/>
      <c r="G6" s="1"/>
      <c r="H6" s="1"/>
      <c r="I6" s="1"/>
      <c r="J6" s="1"/>
    </row>
    <row r="7" spans="1:10" ht="18.75" x14ac:dyDescent="0.25">
      <c r="A7" s="584" t="s">
        <v>4</v>
      </c>
      <c r="B7" s="584"/>
      <c r="C7" s="584"/>
      <c r="D7" s="584"/>
      <c r="E7" s="584"/>
      <c r="F7" s="584"/>
      <c r="G7" s="584"/>
      <c r="H7" s="584"/>
      <c r="I7" s="584"/>
      <c r="J7" s="584"/>
    </row>
    <row r="8" spans="1:10" x14ac:dyDescent="0.25">
      <c r="A8" s="1"/>
      <c r="B8" s="1"/>
      <c r="C8" s="1"/>
      <c r="D8" s="1"/>
      <c r="E8" s="1"/>
      <c r="F8" s="1"/>
      <c r="G8" s="1"/>
      <c r="H8" s="1"/>
      <c r="I8" s="4"/>
      <c r="J8" s="1"/>
    </row>
    <row r="9" spans="1:10" x14ac:dyDescent="0.25">
      <c r="A9" s="1" t="s">
        <v>5</v>
      </c>
      <c r="B9" s="5">
        <f>'[6]F 1 _ Echant et Séchage'!B12</f>
        <v>42200</v>
      </c>
      <c r="C9" s="1"/>
      <c r="D9" s="583" t="s">
        <v>6</v>
      </c>
      <c r="E9" s="583"/>
      <c r="F9" s="583"/>
      <c r="G9" s="6">
        <f>'[6]F 1 _ Echant et Séchage'!G19</f>
        <v>124.60000000000001</v>
      </c>
      <c r="H9" s="6"/>
      <c r="I9" s="7"/>
      <c r="J9" s="1" t="s">
        <v>7</v>
      </c>
    </row>
    <row r="10" spans="1:10" x14ac:dyDescent="0.25">
      <c r="A10" s="1" t="s">
        <v>8</v>
      </c>
      <c r="B10" s="8" t="str">
        <f>'[6]F 1 _ Echant et Séchage'!E12</f>
        <v>7h50</v>
      </c>
      <c r="C10" s="1"/>
      <c r="D10" s="583" t="s">
        <v>9</v>
      </c>
      <c r="E10" s="583"/>
      <c r="F10" s="583"/>
      <c r="G10" s="249">
        <f>'[6]F 1 _ Echant et Séchage'!H26</f>
        <v>0.5</v>
      </c>
      <c r="H10" s="249"/>
      <c r="I10" s="9"/>
      <c r="J10" s="1" t="s">
        <v>10</v>
      </c>
    </row>
    <row r="11" spans="1:10" x14ac:dyDescent="0.25">
      <c r="A11" s="1"/>
      <c r="B11" s="583"/>
      <c r="C11" s="583"/>
      <c r="D11" s="583" t="s">
        <v>11</v>
      </c>
      <c r="E11" s="583"/>
      <c r="F11" s="583"/>
      <c r="G11" s="10">
        <f>G9/1000/G10</f>
        <v>0.2492</v>
      </c>
      <c r="H11" s="10"/>
      <c r="I11" s="3"/>
      <c r="J11" s="3" t="s">
        <v>12</v>
      </c>
    </row>
    <row r="12" spans="1:10" x14ac:dyDescent="0.25">
      <c r="A12" s="1"/>
      <c r="B12" s="7"/>
      <c r="C12" s="1"/>
      <c r="D12" s="583" t="s">
        <v>13</v>
      </c>
      <c r="E12" s="583"/>
      <c r="F12" s="583"/>
      <c r="G12" s="236">
        <f>'[6]F 1 _ Echant et Séchage'!D51</f>
        <v>0.3346789727126806</v>
      </c>
      <c r="H12" s="11"/>
      <c r="I12" s="11"/>
      <c r="J12" s="1"/>
    </row>
    <row r="13" spans="1:10" x14ac:dyDescent="0.25">
      <c r="A13" s="1"/>
      <c r="B13" s="12"/>
      <c r="C13" s="1"/>
      <c r="D13" s="1"/>
      <c r="E13" s="1"/>
      <c r="F13" s="1"/>
      <c r="G13" s="234"/>
      <c r="H13" s="234"/>
      <c r="I13" s="234"/>
      <c r="J13" s="1"/>
    </row>
    <row r="14" spans="1:10" ht="18.75" x14ac:dyDescent="0.25">
      <c r="A14" s="584" t="s">
        <v>14</v>
      </c>
      <c r="B14" s="584"/>
      <c r="C14" s="584"/>
      <c r="D14" s="584"/>
      <c r="E14" s="584"/>
      <c r="F14" s="584"/>
      <c r="G14" s="584"/>
      <c r="H14" s="584"/>
      <c r="I14" s="584"/>
      <c r="J14" s="584"/>
    </row>
    <row r="15" spans="1:10" x14ac:dyDescent="0.25">
      <c r="A15" s="13"/>
      <c r="B15" s="13"/>
      <c r="C15" s="13"/>
      <c r="D15" s="13"/>
      <c r="E15" s="13"/>
      <c r="F15" s="13"/>
      <c r="G15" s="13"/>
      <c r="H15" s="13"/>
      <c r="I15" s="13"/>
      <c r="J15" s="13"/>
    </row>
    <row r="16" spans="1:10" ht="15.75" customHeight="1" thickBot="1" x14ac:dyDescent="0.3">
      <c r="A16" s="1"/>
      <c r="B16" s="1"/>
      <c r="C16" s="14" t="s">
        <v>15</v>
      </c>
      <c r="D16" s="15"/>
      <c r="E16" s="15"/>
      <c r="F16" s="15"/>
      <c r="G16" s="585" t="s">
        <v>16</v>
      </c>
      <c r="H16" s="587" t="s">
        <v>17</v>
      </c>
      <c r="I16" s="585" t="s">
        <v>18</v>
      </c>
      <c r="J16" s="587" t="s">
        <v>19</v>
      </c>
    </row>
    <row r="17" spans="1:10" ht="26.25" thickBot="1" x14ac:dyDescent="0.3">
      <c r="A17" s="138" t="s">
        <v>20</v>
      </c>
      <c r="B17" s="139" t="s">
        <v>21</v>
      </c>
      <c r="C17" s="16" t="s">
        <v>22</v>
      </c>
      <c r="D17" s="16" t="s">
        <v>23</v>
      </c>
      <c r="E17" s="16" t="s">
        <v>24</v>
      </c>
      <c r="F17" s="17" t="s">
        <v>25</v>
      </c>
      <c r="G17" s="586"/>
      <c r="H17" s="588"/>
      <c r="I17" s="586"/>
      <c r="J17" s="588"/>
    </row>
    <row r="18" spans="1:10" ht="63.75" x14ac:dyDescent="0.25">
      <c r="A18" s="579" t="s">
        <v>26</v>
      </c>
      <c r="B18" s="18" t="s">
        <v>119</v>
      </c>
      <c r="C18" s="19">
        <f>'[6]F 4 TRI _ Granulo'!K5</f>
        <v>0.31901960784313754</v>
      </c>
      <c r="D18" s="20">
        <f>'[6]F 4 TRI _ Granulo'!H5</f>
        <v>0.27</v>
      </c>
      <c r="E18" s="20">
        <f>'[6]F 4 TRI _ Granulo'!E5</f>
        <v>0</v>
      </c>
      <c r="F18" s="20">
        <f>SUM(C18:E18)</f>
        <v>0.58901960784313756</v>
      </c>
      <c r="G18" s="21">
        <f t="shared" ref="G18:G64" si="0">F18/$F$64</f>
        <v>7.1066547055327854E-3</v>
      </c>
      <c r="H18" s="21">
        <f>G18*J18/I18</f>
        <v>1.7905636982430397E-2</v>
      </c>
      <c r="I18" s="578">
        <f>G18+G19+G20+G21+G22</f>
        <v>4.5403101567438466E-2</v>
      </c>
      <c r="J18" s="578">
        <f>'[6]Calcul sous cat &gt;20'!N8/100</f>
        <v>0.11439580058815046</v>
      </c>
    </row>
    <row r="19" spans="1:10" ht="51" x14ac:dyDescent="0.25">
      <c r="A19" s="580"/>
      <c r="B19" s="18" t="s">
        <v>27</v>
      </c>
      <c r="C19" s="19">
        <f>'[6]F 4 TRI _ Granulo'!K6</f>
        <v>1.8503137254901962</v>
      </c>
      <c r="D19" s="20">
        <f>'[6]F 4 TRI _ Granulo'!H6</f>
        <v>1.1499999999999999</v>
      </c>
      <c r="E19" s="20">
        <f>'[6]F 4 TRI _ Granulo'!E6</f>
        <v>0</v>
      </c>
      <c r="F19" s="20">
        <f>SUM(C19:E19)</f>
        <v>3.0003137254901961</v>
      </c>
      <c r="G19" s="21">
        <f t="shared" si="0"/>
        <v>3.6199463263042748E-2</v>
      </c>
      <c r="H19" s="21">
        <f>G19*J18/I18</f>
        <v>9.1206689364299875E-2</v>
      </c>
      <c r="I19" s="578"/>
      <c r="J19" s="578"/>
    </row>
    <row r="20" spans="1:10" ht="25.5" x14ac:dyDescent="0.25">
      <c r="A20" s="580"/>
      <c r="B20" s="18" t="s">
        <v>28</v>
      </c>
      <c r="C20" s="19">
        <f>'[6]F 4 TRI _ Granulo'!K7</f>
        <v>0</v>
      </c>
      <c r="D20" s="20">
        <f>'[6]F 4 TRI _ Granulo'!H7</f>
        <v>0</v>
      </c>
      <c r="E20" s="20">
        <f>'[6]F 4 TRI _ Granulo'!E7</f>
        <v>0</v>
      </c>
      <c r="F20" s="20">
        <f t="shared" ref="F20:F62" si="1">SUM(C20:E20)</f>
        <v>0</v>
      </c>
      <c r="G20" s="21">
        <f t="shared" si="0"/>
        <v>0</v>
      </c>
      <c r="H20" s="21">
        <f>G20*J18/I18</f>
        <v>0</v>
      </c>
      <c r="I20" s="578"/>
      <c r="J20" s="578"/>
    </row>
    <row r="21" spans="1:10" ht="38.25" x14ac:dyDescent="0.25">
      <c r="A21" s="580"/>
      <c r="B21" s="18" t="s">
        <v>29</v>
      </c>
      <c r="C21" s="19">
        <f>'[6]F 4 TRI _ Granulo'!K8</f>
        <v>6.380392156862752E-2</v>
      </c>
      <c r="D21" s="20">
        <f>'[6]F 4 TRI _ Granulo'!H8</f>
        <v>0.1100000000000001</v>
      </c>
      <c r="E21" s="20">
        <f>'[6]F 4 TRI _ Granulo'!E8</f>
        <v>0</v>
      </c>
      <c r="F21" s="20">
        <f t="shared" si="1"/>
        <v>0.17380392156862762</v>
      </c>
      <c r="G21" s="21">
        <f t="shared" si="0"/>
        <v>2.0969835988629373E-3</v>
      </c>
      <c r="H21" s="21">
        <f>G21*J18/I18</f>
        <v>5.2834742414202092E-3</v>
      </c>
      <c r="I21" s="578"/>
      <c r="J21" s="578"/>
    </row>
    <row r="22" spans="1:10" ht="38.25" x14ac:dyDescent="0.25">
      <c r="A22" s="581"/>
      <c r="B22" s="18" t="s">
        <v>30</v>
      </c>
      <c r="C22" s="19">
        <f>'[6]F 4 TRI _ Granulo'!K9</f>
        <v>0</v>
      </c>
      <c r="D22" s="20">
        <f>'[6]F 4 TRI _ Granulo'!H9</f>
        <v>0</v>
      </c>
      <c r="E22" s="20">
        <f>'[6]F 4 TRI _ Granulo'!E9</f>
        <v>0</v>
      </c>
      <c r="F22" s="20">
        <f t="shared" si="1"/>
        <v>0</v>
      </c>
      <c r="G22" s="21">
        <f t="shared" si="0"/>
        <v>0</v>
      </c>
      <c r="H22" s="21">
        <f>G22*J18/I18</f>
        <v>0</v>
      </c>
      <c r="I22" s="578"/>
      <c r="J22" s="578"/>
    </row>
    <row r="23" spans="1:10" ht="25.5" x14ac:dyDescent="0.25">
      <c r="A23" s="567" t="s">
        <v>31</v>
      </c>
      <c r="B23" s="18" t="s">
        <v>32</v>
      </c>
      <c r="C23" s="19">
        <f>'[6]F 4 TRI _ Granulo'!K10</f>
        <v>0.44662745098039253</v>
      </c>
      <c r="D23" s="20">
        <f>'[6]F 4 TRI _ Granulo'!H10</f>
        <v>0.77</v>
      </c>
      <c r="E23" s="20">
        <f>'[6]F 4 TRI _ Granulo'!E10</f>
        <v>0</v>
      </c>
      <c r="F23" s="20">
        <f t="shared" si="1"/>
        <v>1.2166274509803925</v>
      </c>
      <c r="G23" s="21">
        <f t="shared" si="0"/>
        <v>1.4678885192040551E-2</v>
      </c>
      <c r="H23" s="21">
        <f>'[6]Calcul sous cat &gt;20'!N32/100</f>
        <v>1.551277683087096E-2</v>
      </c>
      <c r="I23" s="571">
        <f>G23+G24+G25+G26+G27</f>
        <v>0.14695823823096346</v>
      </c>
      <c r="J23" s="571">
        <f>'[6]Calcul sous cat &gt;20'!N9/100</f>
        <v>0.15137880644288809</v>
      </c>
    </row>
    <row r="24" spans="1:10" ht="38.25" x14ac:dyDescent="0.25">
      <c r="A24" s="568"/>
      <c r="B24" s="18" t="s">
        <v>33</v>
      </c>
      <c r="C24" s="19">
        <f>'[6]F 4 TRI _ Granulo'!K11</f>
        <v>0.19141176470588253</v>
      </c>
      <c r="D24" s="20">
        <f>'[6]F 4 TRI _ Granulo'!H11</f>
        <v>6.9699999999999989</v>
      </c>
      <c r="E24" s="20">
        <f>'[6]F 4 TRI _ Granulo'!E11</f>
        <v>0</v>
      </c>
      <c r="F24" s="20">
        <f t="shared" si="1"/>
        <v>7.161411764705881</v>
      </c>
      <c r="G24" s="21">
        <f t="shared" si="0"/>
        <v>8.6404051644845145E-2</v>
      </c>
      <c r="H24" s="21">
        <f>'[6]Calcul sous cat &gt;20'!N33/100</f>
        <v>8.8247816080699662E-2</v>
      </c>
      <c r="I24" s="571"/>
      <c r="J24" s="571"/>
    </row>
    <row r="25" spans="1:10" ht="25.5" x14ac:dyDescent="0.25">
      <c r="A25" s="568"/>
      <c r="B25" s="18" t="s">
        <v>34</v>
      </c>
      <c r="C25" s="19">
        <f>'[6]F 4 TRI _ Granulo'!K12</f>
        <v>6.380392156862752E-2</v>
      </c>
      <c r="D25" s="20">
        <f>'[6]F 4 TRI _ Granulo'!H12</f>
        <v>1.35</v>
      </c>
      <c r="E25" s="20">
        <f>'[6]F 4 TRI _ Granulo'!E12</f>
        <v>0</v>
      </c>
      <c r="F25" s="20">
        <f t="shared" si="1"/>
        <v>1.4138039215686276</v>
      </c>
      <c r="G25" s="21">
        <f t="shared" si="0"/>
        <v>1.7057863877754185E-2</v>
      </c>
      <c r="H25" s="21">
        <f>'[6]Calcul sous cat &gt;20'!N34/100</f>
        <v>1.7421859340591105E-2</v>
      </c>
      <c r="I25" s="571"/>
      <c r="J25" s="571"/>
    </row>
    <row r="26" spans="1:10" ht="25.5" x14ac:dyDescent="0.25">
      <c r="A26" s="568"/>
      <c r="B26" s="18" t="s">
        <v>35</v>
      </c>
      <c r="C26" s="19">
        <f>'[6]F 4 TRI _ Granulo'!K13</f>
        <v>0.44662745098039253</v>
      </c>
      <c r="D26" s="20">
        <f>'[6]F 4 TRI _ Granulo'!H13</f>
        <v>0.15000000000000013</v>
      </c>
      <c r="E26" s="20">
        <f>'[6]F 4 TRI _ Granulo'!E13</f>
        <v>0</v>
      </c>
      <c r="F26" s="20">
        <f t="shared" si="1"/>
        <v>0.5966274509803926</v>
      </c>
      <c r="G26" s="21">
        <f t="shared" si="0"/>
        <v>7.1984450525949279E-3</v>
      </c>
      <c r="H26" s="21">
        <f>'[6]Calcul sous cat &gt;20'!N35/100</f>
        <v>7.4246100703955816E-3</v>
      </c>
      <c r="I26" s="571"/>
      <c r="J26" s="571"/>
    </row>
    <row r="27" spans="1:10" ht="25.5" x14ac:dyDescent="0.25">
      <c r="A27" s="570"/>
      <c r="B27" s="18" t="s">
        <v>36</v>
      </c>
      <c r="C27" s="19">
        <f>'[6]F 4 TRI _ Granulo'!K14</f>
        <v>0.70184313725490266</v>
      </c>
      <c r="D27" s="20">
        <f>'[6]F 4 TRI _ Granulo'!H14</f>
        <v>1.0900000000000003</v>
      </c>
      <c r="E27" s="20">
        <f>'[6]F 4 TRI _ Granulo'!E14</f>
        <v>0</v>
      </c>
      <c r="F27" s="20">
        <f t="shared" si="1"/>
        <v>1.7918431372549031</v>
      </c>
      <c r="G27" s="21">
        <f t="shared" si="0"/>
        <v>2.1618992463728632E-2</v>
      </c>
      <c r="H27" s="21">
        <f>'[6]Calcul sous cat &gt;20'!N36/100</f>
        <v>2.2771744120330794E-2</v>
      </c>
      <c r="I27" s="571"/>
      <c r="J27" s="571"/>
    </row>
    <row r="28" spans="1:10" ht="25.5" x14ac:dyDescent="0.25">
      <c r="A28" s="567" t="s">
        <v>37</v>
      </c>
      <c r="B28" s="18" t="s">
        <v>38</v>
      </c>
      <c r="C28" s="19">
        <f>'[6]F 4 TRI _ Granulo'!K15</f>
        <v>0.95705882352941263</v>
      </c>
      <c r="D28" s="20">
        <f>'[6]F 4 TRI _ Granulo'!H15</f>
        <v>1.29</v>
      </c>
      <c r="E28" s="20">
        <f>'[6]F 4 TRI _ Granulo'!E15</f>
        <v>0</v>
      </c>
      <c r="F28" s="20">
        <f t="shared" si="1"/>
        <v>2.2470588235294127</v>
      </c>
      <c r="G28" s="21">
        <f t="shared" si="0"/>
        <v>2.7111272611653033E-2</v>
      </c>
      <c r="H28" s="21">
        <f>'[6]Calcul sous cat &gt;20'!N37/100</f>
        <v>2.7869346055491583E-2</v>
      </c>
      <c r="I28" s="571">
        <f>G28+G29+G30</f>
        <v>5.4998978004383241E-2</v>
      </c>
      <c r="J28" s="571">
        <f>'[6]Calcul sous cat &gt;20'!N10/100</f>
        <v>5.6662028043373641E-2</v>
      </c>
    </row>
    <row r="29" spans="1:10" ht="38.25" x14ac:dyDescent="0.25">
      <c r="A29" s="568"/>
      <c r="B29" s="18" t="s">
        <v>39</v>
      </c>
      <c r="C29" s="19">
        <f>'[6]F 4 TRI _ Granulo'!K16</f>
        <v>0.19141176470588253</v>
      </c>
      <c r="D29" s="20">
        <f>'[6]F 4 TRI _ Granulo'!H16</f>
        <v>1.73</v>
      </c>
      <c r="E29" s="20">
        <f>'[6]F 4 TRI _ Granulo'!E16</f>
        <v>0</v>
      </c>
      <c r="F29" s="20">
        <f t="shared" si="1"/>
        <v>1.9214117647058826</v>
      </c>
      <c r="G29" s="21">
        <f t="shared" si="0"/>
        <v>2.318226724049828E-2</v>
      </c>
      <c r="H29" s="21">
        <f>'[6]Calcul sous cat &gt;20'!N38/100</f>
        <v>2.3852805891694605E-2</v>
      </c>
      <c r="I29" s="571"/>
      <c r="J29" s="571"/>
    </row>
    <row r="30" spans="1:10" ht="25.5" x14ac:dyDescent="0.25">
      <c r="A30" s="570"/>
      <c r="B30" s="18" t="s">
        <v>40</v>
      </c>
      <c r="C30" s="19">
        <f>'[6]F 4 TRI _ Granulo'!K17</f>
        <v>0</v>
      </c>
      <c r="D30" s="20">
        <f>'[6]F 4 TRI _ Granulo'!H17</f>
        <v>0.39000000000000012</v>
      </c>
      <c r="E30" s="20">
        <f>'[6]F 4 TRI _ Granulo'!E17</f>
        <v>0</v>
      </c>
      <c r="F30" s="20">
        <f t="shared" si="1"/>
        <v>0.39000000000000012</v>
      </c>
      <c r="G30" s="21">
        <f t="shared" si="0"/>
        <v>4.705438152231926E-3</v>
      </c>
      <c r="H30" s="21">
        <f>'[6]Calcul sous cat &gt;20'!N39/100</f>
        <v>4.9398760961874549E-3</v>
      </c>
      <c r="I30" s="571"/>
      <c r="J30" s="571"/>
    </row>
    <row r="31" spans="1:10" ht="38.25" x14ac:dyDescent="0.25">
      <c r="A31" s="572" t="s">
        <v>41</v>
      </c>
      <c r="B31" s="18" t="s">
        <v>42</v>
      </c>
      <c r="C31" s="19">
        <f>'[6]F 4 TRI _ Granulo'!K18</f>
        <v>0</v>
      </c>
      <c r="D31" s="20">
        <f>'[6]F 4 TRI _ Granulo'!H18</f>
        <v>0.19000000000000017</v>
      </c>
      <c r="E31" s="20">
        <f>'[6]F 4 TRI _ Granulo'!E18</f>
        <v>0</v>
      </c>
      <c r="F31" s="20">
        <f t="shared" si="1"/>
        <v>0.19000000000000017</v>
      </c>
      <c r="G31" s="21">
        <f t="shared" si="0"/>
        <v>2.2923929459591451E-3</v>
      </c>
      <c r="H31" s="243">
        <f>G31*J31/I31</f>
        <v>2.9720464683049052E-3</v>
      </c>
      <c r="I31" s="575">
        <f>G31+G32+G33+G34</f>
        <v>8.3590724822002506E-3</v>
      </c>
      <c r="J31" s="575">
        <f>'[6]Calcul sous cat &gt;20'!N11/100</f>
        <v>1.0837388019719866E-2</v>
      </c>
    </row>
    <row r="32" spans="1:10" ht="38.25" x14ac:dyDescent="0.25">
      <c r="A32" s="573"/>
      <c r="B32" s="18" t="s">
        <v>43</v>
      </c>
      <c r="C32" s="19">
        <f>'[6]F 4 TRI _ Granulo'!K19</f>
        <v>0.31901960784313754</v>
      </c>
      <c r="D32" s="20">
        <f>'[6]F 4 TRI _ Granulo'!H19</f>
        <v>3.0000000000000027E-2</v>
      </c>
      <c r="E32" s="20">
        <f>'[6]F 4 TRI _ Granulo'!E19</f>
        <v>0</v>
      </c>
      <c r="F32" s="20">
        <f t="shared" si="1"/>
        <v>0.34901960784313757</v>
      </c>
      <c r="G32" s="21">
        <f t="shared" si="0"/>
        <v>4.2110004580054464E-3</v>
      </c>
      <c r="H32" s="243">
        <f>G32*J31/I31</f>
        <v>5.4594868045229408E-3</v>
      </c>
      <c r="I32" s="576"/>
      <c r="J32" s="576"/>
    </row>
    <row r="33" spans="1:10" ht="51" x14ac:dyDescent="0.25">
      <c r="A33" s="573"/>
      <c r="B33" s="18" t="s">
        <v>44</v>
      </c>
      <c r="C33" s="19">
        <f>'[6]F 4 TRI _ Granulo'!K20</f>
        <v>6.380392156862752E-2</v>
      </c>
      <c r="D33" s="20">
        <f>'[6]F 4 TRI _ Granulo'!H20</f>
        <v>0</v>
      </c>
      <c r="E33" s="20">
        <f>'[6]F 4 TRI _ Granulo'!E20</f>
        <v>0</v>
      </c>
      <c r="F33" s="20">
        <f t="shared" si="1"/>
        <v>6.380392156862752E-2</v>
      </c>
      <c r="G33" s="21">
        <f t="shared" si="0"/>
        <v>7.69808735412906E-4</v>
      </c>
      <c r="H33" s="243">
        <f>G33*J31/I31</f>
        <v>9.9804326190548612E-4</v>
      </c>
      <c r="I33" s="576"/>
      <c r="J33" s="576"/>
    </row>
    <row r="34" spans="1:10" ht="25.5" x14ac:dyDescent="0.25">
      <c r="A34" s="574"/>
      <c r="B34" s="18" t="s">
        <v>120</v>
      </c>
      <c r="C34" s="19">
        <f>'[6]F 4 TRI _ Granulo'!K21</f>
        <v>0</v>
      </c>
      <c r="D34" s="20">
        <f>'[6]F 4 TRI _ Granulo'!H21</f>
        <v>9.000000000000008E-2</v>
      </c>
      <c r="E34" s="20">
        <f>'[6]F 4 TRI _ Granulo'!E21</f>
        <v>0</v>
      </c>
      <c r="F34" s="20">
        <f t="shared" si="1"/>
        <v>9.000000000000008E-2</v>
      </c>
      <c r="G34" s="21">
        <f t="shared" si="0"/>
        <v>1.0858703428227529E-3</v>
      </c>
      <c r="H34" s="243">
        <f>G34*J31/I31</f>
        <v>1.4078114849865339E-3</v>
      </c>
      <c r="I34" s="577"/>
      <c r="J34" s="577"/>
    </row>
    <row r="35" spans="1:10" x14ac:dyDescent="0.25">
      <c r="A35" s="245" t="s">
        <v>45</v>
      </c>
      <c r="B35" s="18" t="s">
        <v>46</v>
      </c>
      <c r="C35" s="19">
        <f>'[6]F 4 TRI _ Granulo'!K22</f>
        <v>1.4674901960784315</v>
      </c>
      <c r="D35" s="20">
        <f>'[6]F 4 TRI _ Granulo'!H22</f>
        <v>2.4700000000000002</v>
      </c>
      <c r="E35" s="20">
        <f>'[6]F 4 TRI _ Granulo'!E22</f>
        <v>0.76</v>
      </c>
      <c r="F35" s="20">
        <f t="shared" si="1"/>
        <v>4.6974901960784319</v>
      </c>
      <c r="G35" s="21">
        <f t="shared" si="0"/>
        <v>5.6676280995802256E-2</v>
      </c>
      <c r="H35" s="21">
        <f>'[6]Calcul sous cat &gt;20'!N43/100</f>
        <v>5.8329386189174805E-2</v>
      </c>
      <c r="I35" s="246">
        <f>G35</f>
        <v>5.6676280995802256E-2</v>
      </c>
      <c r="J35" s="246">
        <f>'[6]Calcul sous cat &gt;20'!N12/100</f>
        <v>5.8329386189174805E-2</v>
      </c>
    </row>
    <row r="36" spans="1:10" ht="51" x14ac:dyDescent="0.25">
      <c r="A36" s="567" t="s">
        <v>47</v>
      </c>
      <c r="B36" s="18" t="s">
        <v>48</v>
      </c>
      <c r="C36" s="19">
        <f>'[6]F 4 TRI _ Granulo'!K23</f>
        <v>1.5950980392156864</v>
      </c>
      <c r="D36" s="20">
        <f>'[6]F 4 TRI _ Granulo'!H23</f>
        <v>0.17000000000000015</v>
      </c>
      <c r="E36" s="20">
        <f>'[6]F 4 TRI _ Granulo'!E23</f>
        <v>0</v>
      </c>
      <c r="F36" s="20">
        <f t="shared" si="1"/>
        <v>1.7650980392156865</v>
      </c>
      <c r="G36" s="21">
        <f t="shared" si="0"/>
        <v>2.1296306810654496E-2</v>
      </c>
      <c r="H36" s="21">
        <f>'[6]Calcul sous cat &gt;20'!N44/100</f>
        <v>2.2715549270034788E-2</v>
      </c>
      <c r="I36" s="571">
        <f>G36+G37</f>
        <v>3.5859744349689061E-2</v>
      </c>
      <c r="J36" s="571">
        <f>'[6]Calcul sous cat &gt;20'!N13/100</f>
        <v>3.8012429271180918E-2</v>
      </c>
    </row>
    <row r="37" spans="1:10" ht="63.75" x14ac:dyDescent="0.25">
      <c r="A37" s="570"/>
      <c r="B37" s="18" t="s">
        <v>49</v>
      </c>
      <c r="C37" s="19">
        <f>'[6]F 4 TRI _ Granulo'!K24</f>
        <v>0.95705882352941263</v>
      </c>
      <c r="D37" s="20">
        <f>'[6]F 4 TRI _ Granulo'!H24</f>
        <v>0.25</v>
      </c>
      <c r="E37" s="20">
        <f>'[6]F 4 TRI _ Granulo'!E24</f>
        <v>0</v>
      </c>
      <c r="F37" s="20">
        <f t="shared" si="1"/>
        <v>1.2070588235294126</v>
      </c>
      <c r="G37" s="21">
        <f t="shared" si="0"/>
        <v>1.4563437539034566E-2</v>
      </c>
      <c r="H37" s="21">
        <f>'[6]Calcul sous cat &gt;20'!N45/100</f>
        <v>1.5296880001146127E-2</v>
      </c>
      <c r="I37" s="571"/>
      <c r="J37" s="571"/>
    </row>
    <row r="38" spans="1:10" ht="38.25" x14ac:dyDescent="0.25">
      <c r="A38" s="567" t="s">
        <v>50</v>
      </c>
      <c r="B38" s="18" t="s">
        <v>51</v>
      </c>
      <c r="C38" s="19">
        <f>'[6]F 4 TRI _ Granulo'!K25</f>
        <v>0.82945098039215759</v>
      </c>
      <c r="D38" s="20">
        <f>'[6]F 4 TRI _ Granulo'!H25</f>
        <v>3.03</v>
      </c>
      <c r="E38" s="20">
        <f>'[6]F 4 TRI _ Granulo'!E25</f>
        <v>0</v>
      </c>
      <c r="F38" s="20">
        <f t="shared" si="1"/>
        <v>3.8594509803921575</v>
      </c>
      <c r="G38" s="21">
        <f t="shared" si="0"/>
        <v>4.6565148435400418E-2</v>
      </c>
      <c r="H38" s="21">
        <f>'[6]Calcul sous cat &gt;20'!N46/100</f>
        <v>5.4720081437779372E-2</v>
      </c>
      <c r="I38" s="571">
        <f>G38+G39+G40+G41+G42</f>
        <v>0.11409208937540929</v>
      </c>
      <c r="J38" s="571">
        <f>'[6]Calcul sous cat &gt;20'!N14/100</f>
        <v>0.13248679073301622</v>
      </c>
    </row>
    <row r="39" spans="1:10" ht="38.25" x14ac:dyDescent="0.25">
      <c r="A39" s="568"/>
      <c r="B39" s="18" t="s">
        <v>52</v>
      </c>
      <c r="C39" s="19">
        <f>'[6]F 4 TRI _ Granulo'!K26</f>
        <v>0.31901960784313754</v>
      </c>
      <c r="D39" s="20">
        <f>'[6]F 4 TRI _ Granulo'!H26</f>
        <v>0.66000000000000014</v>
      </c>
      <c r="E39" s="20">
        <f>'[6]F 4 TRI _ Granulo'!E26</f>
        <v>0</v>
      </c>
      <c r="F39" s="20">
        <f t="shared" si="1"/>
        <v>0.97901960784313768</v>
      </c>
      <c r="G39" s="21">
        <f t="shared" si="0"/>
        <v>1.1812092857764711E-2</v>
      </c>
      <c r="H39" s="21">
        <f>'[6]Calcul sous cat &gt;20'!N47/100</f>
        <v>1.2404991165484389E-2</v>
      </c>
      <c r="I39" s="571"/>
      <c r="J39" s="571"/>
    </row>
    <row r="40" spans="1:10" ht="51" x14ac:dyDescent="0.25">
      <c r="A40" s="568"/>
      <c r="B40" s="18" t="s">
        <v>53</v>
      </c>
      <c r="C40" s="19">
        <f>'[6]F 4 TRI _ Granulo'!K27</f>
        <v>0</v>
      </c>
      <c r="D40" s="20">
        <f>'[6]F 4 TRI _ Granulo'!H27</f>
        <v>5.0000000000000044E-2</v>
      </c>
      <c r="E40" s="20">
        <f>'[6]F 4 TRI _ Granulo'!E27</f>
        <v>0</v>
      </c>
      <c r="F40" s="20">
        <f t="shared" si="1"/>
        <v>5.0000000000000044E-2</v>
      </c>
      <c r="G40" s="21">
        <f t="shared" si="0"/>
        <v>6.0326130156819599E-4</v>
      </c>
      <c r="H40" s="21">
        <f>'[6]Calcul sous cat &gt;20'!N48/100</f>
        <v>6.3342268481142439E-4</v>
      </c>
      <c r="I40" s="571"/>
      <c r="J40" s="571"/>
    </row>
    <row r="41" spans="1:10" ht="38.25" x14ac:dyDescent="0.25">
      <c r="A41" s="568"/>
      <c r="B41" s="18" t="s">
        <v>54</v>
      </c>
      <c r="C41" s="19">
        <f>'[6]F 4 TRI _ Granulo'!K28</f>
        <v>1.7227058823529413</v>
      </c>
      <c r="D41" s="20">
        <f>'[6]F 4 TRI _ Granulo'!H28</f>
        <v>0.82000000000000028</v>
      </c>
      <c r="E41" s="20">
        <f>'[6]F 4 TRI _ Granulo'!E28</f>
        <v>0</v>
      </c>
      <c r="F41" s="20">
        <f t="shared" si="1"/>
        <v>2.5427058823529416</v>
      </c>
      <c r="G41" s="21">
        <f t="shared" si="0"/>
        <v>3.0678321201866851E-2</v>
      </c>
      <c r="H41" s="21">
        <f>'[6]Calcul sous cat &gt;20'!N49/100</f>
        <v>3.6029616171376733E-2</v>
      </c>
      <c r="I41" s="571"/>
      <c r="J41" s="571"/>
    </row>
    <row r="42" spans="1:10" ht="25.5" x14ac:dyDescent="0.25">
      <c r="A42" s="570"/>
      <c r="B42" s="18" t="s">
        <v>55</v>
      </c>
      <c r="C42" s="19">
        <f>'[6]F 4 TRI _ Granulo'!K29</f>
        <v>1.5950980392156864</v>
      </c>
      <c r="D42" s="20">
        <f>'[6]F 4 TRI _ Granulo'!H29</f>
        <v>0.43000000000000016</v>
      </c>
      <c r="E42" s="20">
        <f>'[6]F 4 TRI _ Granulo'!E29</f>
        <v>0</v>
      </c>
      <c r="F42" s="20">
        <f t="shared" si="1"/>
        <v>2.0250980392156865</v>
      </c>
      <c r="G42" s="21">
        <f t="shared" si="0"/>
        <v>2.4433265578809114E-2</v>
      </c>
      <c r="H42" s="21">
        <f>'[6]Calcul sous cat &gt;20'!N50/100</f>
        <v>2.8698679273564318E-2</v>
      </c>
      <c r="I42" s="571"/>
      <c r="J42" s="571"/>
    </row>
    <row r="43" spans="1:10" ht="38.25" x14ac:dyDescent="0.25">
      <c r="A43" s="245" t="s">
        <v>56</v>
      </c>
      <c r="B43" s="18" t="s">
        <v>56</v>
      </c>
      <c r="C43" s="19">
        <f>'[6]F 4 TRI _ Granulo'!K30</f>
        <v>4.0196470588235291</v>
      </c>
      <c r="D43" s="20">
        <f>'[6]F 4 TRI _ Granulo'!H30</f>
        <v>0.89000000000000012</v>
      </c>
      <c r="E43" s="20">
        <f>'[6]F 4 TRI _ Granulo'!E30</f>
        <v>0.16</v>
      </c>
      <c r="F43" s="20">
        <f t="shared" si="1"/>
        <v>5.069647058823529</v>
      </c>
      <c r="G43" s="21">
        <f t="shared" si="0"/>
        <v>6.1166437663945125E-2</v>
      </c>
      <c r="H43" s="21">
        <f>J43</f>
        <v>6.4288170461475336E-2</v>
      </c>
      <c r="I43" s="246">
        <f>G43</f>
        <v>6.1166437663945125E-2</v>
      </c>
      <c r="J43" s="246">
        <f>'[6]Calcul sous cat &gt;20'!N15/100</f>
        <v>6.4288170461475336E-2</v>
      </c>
    </row>
    <row r="44" spans="1:10" ht="51" x14ac:dyDescent="0.25">
      <c r="A44" s="567" t="s">
        <v>57</v>
      </c>
      <c r="B44" s="18" t="s">
        <v>58</v>
      </c>
      <c r="C44" s="19">
        <f>'[6]F 4 TRI _ Granulo'!K31</f>
        <v>12.314156862745101</v>
      </c>
      <c r="D44" s="20">
        <f>'[6]F 4 TRI _ Granulo'!H31</f>
        <v>3.11</v>
      </c>
      <c r="E44" s="20">
        <f>'[6]F 4 TRI _ Granulo'!E31</f>
        <v>0</v>
      </c>
      <c r="F44" s="20">
        <f t="shared" si="1"/>
        <v>15.4241568627451</v>
      </c>
      <c r="G44" s="21">
        <f t="shared" si="0"/>
        <v>0.18609593889223247</v>
      </c>
      <c r="H44" s="21">
        <f>G44*J44/I44</f>
        <v>0.19125225077041133</v>
      </c>
      <c r="I44" s="571">
        <f>G44+G45</f>
        <v>0.18686574762764538</v>
      </c>
      <c r="J44" s="571">
        <f>'[6]Calcul sous cat &gt;20'!N16/100</f>
        <v>0.19204338922397909</v>
      </c>
    </row>
    <row r="45" spans="1:10" ht="38.25" x14ac:dyDescent="0.25">
      <c r="A45" s="570"/>
      <c r="B45" s="18" t="s">
        <v>59</v>
      </c>
      <c r="C45" s="19">
        <f>'[6]F 4 TRI _ Granulo'!K32</f>
        <v>6.380392156862752E-2</v>
      </c>
      <c r="D45" s="20">
        <f>'[6]F 4 TRI _ Granulo'!H32</f>
        <v>0</v>
      </c>
      <c r="E45" s="20">
        <f>'[6]F 4 TRI _ Granulo'!E32</f>
        <v>0</v>
      </c>
      <c r="F45" s="20">
        <f t="shared" si="1"/>
        <v>6.380392156862752E-2</v>
      </c>
      <c r="G45" s="21">
        <f t="shared" si="0"/>
        <v>7.69808735412906E-4</v>
      </c>
      <c r="H45" s="21">
        <f>G45*J44/I44</f>
        <v>7.9113845356776629E-4</v>
      </c>
      <c r="I45" s="571"/>
      <c r="J45" s="571"/>
    </row>
    <row r="46" spans="1:10" ht="51" x14ac:dyDescent="0.25">
      <c r="A46" s="567" t="s">
        <v>60</v>
      </c>
      <c r="B46" s="18" t="s">
        <v>61</v>
      </c>
      <c r="C46" s="19">
        <f>'[6]F 4 TRI _ Granulo'!K33</f>
        <v>0.70184313725490266</v>
      </c>
      <c r="D46" s="20">
        <f>'[6]F 4 TRI _ Granulo'!H33</f>
        <v>0.29000000000000004</v>
      </c>
      <c r="E46" s="20">
        <f>'[6]F 4 TRI _ Granulo'!E33</f>
        <v>1.5</v>
      </c>
      <c r="F46" s="20">
        <f t="shared" si="1"/>
        <v>2.4918431372549028</v>
      </c>
      <c r="G46" s="21">
        <f t="shared" si="0"/>
        <v>3.0064650685683366E-2</v>
      </c>
      <c r="H46" s="21">
        <f t="shared" ref="H46:H51" si="2">G46*$J$46/$I$46</f>
        <v>3.1907481553632322E-2</v>
      </c>
      <c r="I46" s="571">
        <f>G46+G47+G50+G51+G48+G49</f>
        <v>3.6763453436744163E-2</v>
      </c>
      <c r="J46" s="571">
        <f>'[6]Calcul sous cat &gt;20'!N17/100</f>
        <v>3.9016891453168473E-2</v>
      </c>
    </row>
    <row r="47" spans="1:10" ht="51" x14ac:dyDescent="0.25">
      <c r="A47" s="568"/>
      <c r="B47" s="18" t="s">
        <v>62</v>
      </c>
      <c r="C47" s="19">
        <f>'[6]F 4 TRI _ Granulo'!K34</f>
        <v>0.19141176470588253</v>
      </c>
      <c r="D47" s="20">
        <f>'[6]F 4 TRI _ Granulo'!H34</f>
        <v>5.0000000000000044E-2</v>
      </c>
      <c r="E47" s="20">
        <f>'[6]F 4 TRI _ Granulo'!E34</f>
        <v>0</v>
      </c>
      <c r="F47" s="20">
        <f t="shared" si="1"/>
        <v>0.24141176470588258</v>
      </c>
      <c r="G47" s="21">
        <f t="shared" si="0"/>
        <v>2.9126875078069134E-3</v>
      </c>
      <c r="H47" s="21">
        <f t="shared" si="2"/>
        <v>3.0912224425444692E-3</v>
      </c>
      <c r="I47" s="571"/>
      <c r="J47" s="571"/>
    </row>
    <row r="48" spans="1:10" ht="38.25" x14ac:dyDescent="0.25">
      <c r="A48" s="568"/>
      <c r="B48" s="18" t="s">
        <v>63</v>
      </c>
      <c r="C48" s="19">
        <f>'[6]F 4 TRI _ Granulo'!K35</f>
        <v>0</v>
      </c>
      <c r="D48" s="20">
        <f>'[6]F 4 TRI _ Granulo'!H35</f>
        <v>0</v>
      </c>
      <c r="E48" s="20">
        <f>'[6]F 4 TRI _ Granulo'!E35</f>
        <v>0</v>
      </c>
      <c r="F48" s="20">
        <f t="shared" si="1"/>
        <v>0</v>
      </c>
      <c r="G48" s="21">
        <f t="shared" si="0"/>
        <v>0</v>
      </c>
      <c r="H48" s="21">
        <f t="shared" si="2"/>
        <v>0</v>
      </c>
      <c r="I48" s="571"/>
      <c r="J48" s="571"/>
    </row>
    <row r="49" spans="1:10" ht="51" x14ac:dyDescent="0.25">
      <c r="A49" s="568"/>
      <c r="B49" s="18" t="s">
        <v>64</v>
      </c>
      <c r="C49" s="19">
        <f>'[6]F 4 TRI _ Granulo'!K36</f>
        <v>0</v>
      </c>
      <c r="D49" s="20">
        <f>'[6]F 4 TRI _ Granulo'!H36</f>
        <v>0</v>
      </c>
      <c r="E49" s="20">
        <f>'[6]F 4 TRI _ Granulo'!E36</f>
        <v>0</v>
      </c>
      <c r="F49" s="20">
        <f t="shared" si="1"/>
        <v>0</v>
      </c>
      <c r="G49" s="21">
        <f t="shared" si="0"/>
        <v>0</v>
      </c>
      <c r="H49" s="21">
        <f t="shared" si="2"/>
        <v>0</v>
      </c>
      <c r="I49" s="571"/>
      <c r="J49" s="571"/>
    </row>
    <row r="50" spans="1:10" ht="38.25" x14ac:dyDescent="0.25">
      <c r="A50" s="568"/>
      <c r="B50" s="18" t="s">
        <v>65</v>
      </c>
      <c r="C50" s="19">
        <f>'[6]F 4 TRI _ Granulo'!K37</f>
        <v>6.380392156862752E-2</v>
      </c>
      <c r="D50" s="20">
        <f>'[6]F 4 TRI _ Granulo'!H37</f>
        <v>0.25</v>
      </c>
      <c r="E50" s="20">
        <f>'[6]F 4 TRI _ Granulo'!E37</f>
        <v>0</v>
      </c>
      <c r="F50" s="20">
        <f t="shared" si="1"/>
        <v>0.31380392156862752</v>
      </c>
      <c r="G50" s="21">
        <f t="shared" si="0"/>
        <v>3.7861152432538832E-3</v>
      </c>
      <c r="H50" s="21">
        <f t="shared" si="2"/>
        <v>4.0181874569916861E-3</v>
      </c>
      <c r="I50" s="571"/>
      <c r="J50" s="571"/>
    </row>
    <row r="51" spans="1:10" ht="25.5" x14ac:dyDescent="0.25">
      <c r="A51" s="570"/>
      <c r="B51" s="18" t="s">
        <v>66</v>
      </c>
      <c r="C51" s="19">
        <f>'[6]F 4 TRI _ Granulo'!K38</f>
        <v>0</v>
      </c>
      <c r="D51" s="20">
        <f>'[6]F 4 TRI _ Granulo'!H38</f>
        <v>0</v>
      </c>
      <c r="E51" s="20">
        <f>'[6]F 4 TRI _ Granulo'!E38</f>
        <v>0</v>
      </c>
      <c r="F51" s="20">
        <f t="shared" si="1"/>
        <v>0</v>
      </c>
      <c r="G51" s="21">
        <f t="shared" si="0"/>
        <v>0</v>
      </c>
      <c r="H51" s="21">
        <f t="shared" si="2"/>
        <v>0</v>
      </c>
      <c r="I51" s="571"/>
      <c r="J51" s="571"/>
    </row>
    <row r="52" spans="1:10" ht="38.25" x14ac:dyDescent="0.25">
      <c r="A52" s="247" t="s">
        <v>67</v>
      </c>
      <c r="B52" s="18" t="s">
        <v>68</v>
      </c>
      <c r="C52" s="19">
        <f>'[6]F 4 TRI _ Granulo'!K39</f>
        <v>1.4674901960784315</v>
      </c>
      <c r="D52" s="20">
        <f>'[6]F 4 TRI _ Granulo'!H39</f>
        <v>0.71</v>
      </c>
      <c r="E52" s="20">
        <f>'[6]F 4 TRI _ Granulo'!E39</f>
        <v>0</v>
      </c>
      <c r="F52" s="20">
        <f t="shared" si="1"/>
        <v>2.1774901960784314</v>
      </c>
      <c r="G52" s="21">
        <f t="shared" si="0"/>
        <v>2.6271911396765196E-2</v>
      </c>
      <c r="H52" s="21">
        <f>J52</f>
        <v>3.083311772469861E-2</v>
      </c>
      <c r="I52" s="248">
        <f>G52</f>
        <v>2.6271911396765196E-2</v>
      </c>
      <c r="J52" s="248">
        <f>'[6]Calcul sous cat &gt;20'!N18/100</f>
        <v>3.083311772469861E-2</v>
      </c>
    </row>
    <row r="53" spans="1:10" ht="38.25" x14ac:dyDescent="0.25">
      <c r="A53" s="567" t="s">
        <v>69</v>
      </c>
      <c r="B53" s="18" t="s">
        <v>121</v>
      </c>
      <c r="C53" s="19">
        <f>'[6]F 4 TRI _ Granulo'!K40</f>
        <v>0</v>
      </c>
      <c r="D53" s="20">
        <f>'[6]F 4 TRI _ Granulo'!H40</f>
        <v>6.0000000000000053E-2</v>
      </c>
      <c r="E53" s="20">
        <f>'[6]F 4 TRI _ Granulo'!E40</f>
        <v>0</v>
      </c>
      <c r="F53" s="20">
        <f t="shared" si="1"/>
        <v>6.0000000000000053E-2</v>
      </c>
      <c r="G53" s="21">
        <f t="shared" si="0"/>
        <v>7.2391356188183519E-4</v>
      </c>
      <c r="H53" s="243">
        <f>G53*J53/I53</f>
        <v>7.5967614862863006E-4</v>
      </c>
      <c r="I53" s="571">
        <f>SUM(G53:G62)</f>
        <v>7.2391356188183519E-4</v>
      </c>
      <c r="J53" s="571">
        <f>'[6]Calcul sous cat &gt;20'!N19/100</f>
        <v>7.5967614862863006E-4</v>
      </c>
    </row>
    <row r="54" spans="1:10" ht="76.5" x14ac:dyDescent="0.25">
      <c r="A54" s="568"/>
      <c r="B54" s="18" t="s">
        <v>70</v>
      </c>
      <c r="C54" s="19">
        <f>'[6]F 4 TRI _ Granulo'!K41</f>
        <v>0</v>
      </c>
      <c r="D54" s="20">
        <f>'[6]F 4 TRI _ Granulo'!H41</f>
        <v>0</v>
      </c>
      <c r="E54" s="20">
        <f>'[6]F 4 TRI _ Granulo'!E41</f>
        <v>0</v>
      </c>
      <c r="F54" s="20">
        <f t="shared" si="1"/>
        <v>0</v>
      </c>
      <c r="G54" s="21">
        <f t="shared" si="0"/>
        <v>0</v>
      </c>
      <c r="H54" s="21">
        <f>G54*J53/I53</f>
        <v>0</v>
      </c>
      <c r="I54" s="571"/>
      <c r="J54" s="571"/>
    </row>
    <row r="55" spans="1:10" ht="25.5" x14ac:dyDescent="0.25">
      <c r="A55" s="568"/>
      <c r="B55" s="18" t="s">
        <v>71</v>
      </c>
      <c r="C55" s="19">
        <f>'[6]F 4 TRI _ Granulo'!K42</f>
        <v>0</v>
      </c>
      <c r="D55" s="20">
        <f>'[6]F 4 TRI _ Granulo'!H42</f>
        <v>0</v>
      </c>
      <c r="E55" s="20">
        <f>'[6]F 4 TRI _ Granulo'!E42</f>
        <v>0</v>
      </c>
      <c r="F55" s="20">
        <f>SUM(C55:E55)</f>
        <v>0</v>
      </c>
      <c r="G55" s="21">
        <f t="shared" si="0"/>
        <v>0</v>
      </c>
      <c r="H55" s="244">
        <f>G55*J53/I53</f>
        <v>0</v>
      </c>
      <c r="I55" s="571"/>
      <c r="J55" s="571"/>
    </row>
    <row r="56" spans="1:10" ht="38.25" x14ac:dyDescent="0.25">
      <c r="A56" s="568"/>
      <c r="B56" s="18" t="s">
        <v>72</v>
      </c>
      <c r="C56" s="19">
        <f>'[6]F 4 TRI _ Granulo'!K43</f>
        <v>0</v>
      </c>
      <c r="D56" s="20">
        <f>'[6]F 4 TRI _ Granulo'!H43</f>
        <v>0</v>
      </c>
      <c r="E56" s="20">
        <f>'[6]F 4 TRI _ Granulo'!E43</f>
        <v>0</v>
      </c>
      <c r="F56" s="20">
        <f t="shared" si="1"/>
        <v>0</v>
      </c>
      <c r="G56" s="21">
        <f>F56/$F$64</f>
        <v>0</v>
      </c>
      <c r="H56" s="244">
        <f>G56*J53/I53</f>
        <v>0</v>
      </c>
      <c r="I56" s="571"/>
      <c r="J56" s="571"/>
    </row>
    <row r="57" spans="1:10" ht="51" x14ac:dyDescent="0.25">
      <c r="A57" s="568"/>
      <c r="B57" s="18" t="s">
        <v>122</v>
      </c>
      <c r="C57" s="19">
        <f>'[6]F 4 TRI _ Granulo'!K44</f>
        <v>0</v>
      </c>
      <c r="D57" s="20">
        <f>'[6]F 4 TRI _ Granulo'!H44</f>
        <v>0</v>
      </c>
      <c r="E57" s="20">
        <f>'[6]F 4 TRI _ Granulo'!E44</f>
        <v>0</v>
      </c>
      <c r="F57" s="20">
        <f t="shared" si="1"/>
        <v>0</v>
      </c>
      <c r="G57" s="21">
        <f t="shared" ref="G57:G62" si="3">F57/$F$64</f>
        <v>0</v>
      </c>
      <c r="H57" s="244">
        <f>G57*J53/I53</f>
        <v>0</v>
      </c>
      <c r="I57" s="571"/>
      <c r="J57" s="571"/>
    </row>
    <row r="58" spans="1:10" ht="25.5" x14ac:dyDescent="0.25">
      <c r="A58" s="568"/>
      <c r="B58" s="18" t="s">
        <v>123</v>
      </c>
      <c r="C58" s="19">
        <f>'[6]F 4 TRI _ Granulo'!K45</f>
        <v>0</v>
      </c>
      <c r="D58" s="20">
        <f>'[6]F 4 TRI _ Granulo'!H45</f>
        <v>0</v>
      </c>
      <c r="E58" s="20">
        <f>'[6]F 4 TRI _ Granulo'!E45</f>
        <v>0</v>
      </c>
      <c r="F58" s="20">
        <f t="shared" si="1"/>
        <v>0</v>
      </c>
      <c r="G58" s="21">
        <f t="shared" si="3"/>
        <v>0</v>
      </c>
      <c r="H58" s="244">
        <f>G58*J53/I53</f>
        <v>0</v>
      </c>
      <c r="I58" s="571"/>
      <c r="J58" s="571"/>
    </row>
    <row r="59" spans="1:10" ht="25.5" x14ac:dyDescent="0.25">
      <c r="A59" s="568"/>
      <c r="B59" s="18" t="s">
        <v>124</v>
      </c>
      <c r="C59" s="19">
        <f>'[6]F 4 TRI _ Granulo'!K46</f>
        <v>0</v>
      </c>
      <c r="D59" s="20">
        <f>'[6]F 4 TRI _ Granulo'!H46</f>
        <v>0</v>
      </c>
      <c r="E59" s="20">
        <f>'[6]F 4 TRI _ Granulo'!E46</f>
        <v>0</v>
      </c>
      <c r="F59" s="20">
        <f t="shared" si="1"/>
        <v>0</v>
      </c>
      <c r="G59" s="21">
        <f t="shared" si="3"/>
        <v>0</v>
      </c>
      <c r="H59" s="244">
        <f>G59*J53/I53</f>
        <v>0</v>
      </c>
      <c r="I59" s="571"/>
      <c r="J59" s="571"/>
    </row>
    <row r="60" spans="1:10" ht="25.5" x14ac:dyDescent="0.25">
      <c r="A60" s="568"/>
      <c r="B60" s="18" t="s">
        <v>125</v>
      </c>
      <c r="C60" s="19">
        <f>'[6]F 4 TRI _ Granulo'!K47</f>
        <v>0</v>
      </c>
      <c r="D60" s="20">
        <f>'[6]F 4 TRI _ Granulo'!H47</f>
        <v>0</v>
      </c>
      <c r="E60" s="20">
        <f>'[6]F 4 TRI _ Granulo'!E47</f>
        <v>0</v>
      </c>
      <c r="F60" s="20">
        <f t="shared" si="1"/>
        <v>0</v>
      </c>
      <c r="G60" s="21">
        <f t="shared" si="3"/>
        <v>0</v>
      </c>
      <c r="H60" s="244">
        <f>G60*J53/I53</f>
        <v>0</v>
      </c>
      <c r="I60" s="571"/>
      <c r="J60" s="571"/>
    </row>
    <row r="61" spans="1:10" ht="38.25" x14ac:dyDescent="0.25">
      <c r="A61" s="568"/>
      <c r="B61" s="18" t="s">
        <v>126</v>
      </c>
      <c r="C61" s="19">
        <f>'[6]F 4 TRI _ Granulo'!K48</f>
        <v>0</v>
      </c>
      <c r="D61" s="20">
        <f>'[6]F 4 TRI _ Granulo'!H48</f>
        <v>0</v>
      </c>
      <c r="E61" s="20">
        <f>'[6]F 4 TRI _ Granulo'!E48</f>
        <v>0</v>
      </c>
      <c r="F61" s="20">
        <f t="shared" si="1"/>
        <v>0</v>
      </c>
      <c r="G61" s="21">
        <f t="shared" si="3"/>
        <v>0</v>
      </c>
      <c r="H61" s="244">
        <f>G61*J53/I53</f>
        <v>0</v>
      </c>
      <c r="I61" s="571"/>
      <c r="J61" s="571"/>
    </row>
    <row r="62" spans="1:10" ht="51" x14ac:dyDescent="0.25">
      <c r="A62" s="569"/>
      <c r="B62" s="18" t="s">
        <v>73</v>
      </c>
      <c r="C62" s="19">
        <f>'[6]F 4 TRI _ Granulo'!K49</f>
        <v>0</v>
      </c>
      <c r="D62" s="20">
        <f>'[6]F 4 TRI _ Granulo'!H49</f>
        <v>0</v>
      </c>
      <c r="E62" s="20">
        <f>'[6]F 4 TRI _ Granulo'!E49</f>
        <v>0</v>
      </c>
      <c r="F62" s="20">
        <f t="shared" si="1"/>
        <v>0</v>
      </c>
      <c r="G62" s="21">
        <f t="shared" si="3"/>
        <v>0</v>
      </c>
      <c r="H62" s="244">
        <f>G62*J53/I53</f>
        <v>0</v>
      </c>
      <c r="I62" s="571"/>
      <c r="J62" s="571"/>
    </row>
    <row r="63" spans="1:10" x14ac:dyDescent="0.25">
      <c r="A63" s="22" t="s">
        <v>74</v>
      </c>
      <c r="B63" s="23">
        <f>'[6]F 3 _ Criblage et Tri'!C27+'[6]F 3 _ Criblage et Tri'!D27</f>
        <v>18.259999999999998</v>
      </c>
      <c r="C63" s="19">
        <f>'[6]F 4 TRI _ Granulo'!K50</f>
        <v>0</v>
      </c>
      <c r="D63" s="20">
        <f>'[6]F 4 TRI _ Granulo'!H50</f>
        <v>0.45999999999999996</v>
      </c>
      <c r="E63" s="20">
        <f>'[6]F 4 TRI _ Granulo'!E50</f>
        <v>0</v>
      </c>
      <c r="F63" s="19">
        <f>SUM(B63:E63)</f>
        <v>18.72</v>
      </c>
      <c r="G63" s="21">
        <f t="shared" si="0"/>
        <v>0.22586103130713236</v>
      </c>
      <c r="H63" s="21">
        <f>J63</f>
        <v>0.11095612570054575</v>
      </c>
      <c r="I63" s="24">
        <f>G63</f>
        <v>0.22586103130713236</v>
      </c>
      <c r="J63" s="24">
        <f>'[6]Calcul sous cat &gt;20'!N20/100</f>
        <v>0.11095612570054575</v>
      </c>
    </row>
    <row r="64" spans="1:10" x14ac:dyDescent="0.25">
      <c r="A64" s="25" t="s">
        <v>25</v>
      </c>
      <c r="B64" s="90">
        <f>B63</f>
        <v>18.259999999999998</v>
      </c>
      <c r="C64" s="19">
        <f>SUM(C18:C63)</f>
        <v>32.922823529411772</v>
      </c>
      <c r="D64" s="19">
        <f>SUM(D18:D63)</f>
        <v>29.28</v>
      </c>
      <c r="E64" s="19">
        <f>SUM(E18:E63)</f>
        <v>2.42</v>
      </c>
      <c r="F64" s="19">
        <f>SUM(B64:E64)</f>
        <v>82.882823529411766</v>
      </c>
      <c r="G64" s="21">
        <f t="shared" si="0"/>
        <v>1</v>
      </c>
      <c r="H64" s="21">
        <f>SUM(H18:H63)</f>
        <v>1</v>
      </c>
      <c r="I64" s="24">
        <f>SUM(I18:I63)</f>
        <v>1.0000000000000002</v>
      </c>
      <c r="J64" s="24">
        <f>SUM(J18:J63)</f>
        <v>0.99999999999999978</v>
      </c>
    </row>
    <row r="65" spans="1:10" ht="51.75" x14ac:dyDescent="0.25">
      <c r="A65" s="26" t="s">
        <v>75</v>
      </c>
      <c r="B65" s="235">
        <f>B64/$F$64</f>
        <v>0.22031102733270497</v>
      </c>
      <c r="C65" s="235">
        <f>C64/$F$64</f>
        <v>0.39722130747305917</v>
      </c>
      <c r="D65" s="235">
        <f>D64/$F$64</f>
        <v>0.35326981819833531</v>
      </c>
      <c r="E65" s="235">
        <f>E64/$F$64</f>
        <v>2.919784699590066E-2</v>
      </c>
      <c r="F65" s="235">
        <f>F64/$F$64</f>
        <v>1</v>
      </c>
      <c r="G65" s="1"/>
      <c r="H65" s="1"/>
      <c r="I65" s="1"/>
      <c r="J65" s="1"/>
    </row>
  </sheetData>
  <mergeCells count="40">
    <mergeCell ref="B2:F2"/>
    <mergeCell ref="B11:C11"/>
    <mergeCell ref="D11:F11"/>
    <mergeCell ref="B3:F3"/>
    <mergeCell ref="A7:J7"/>
    <mergeCell ref="D9:F9"/>
    <mergeCell ref="D10:F10"/>
    <mergeCell ref="D12:F12"/>
    <mergeCell ref="A14:J14"/>
    <mergeCell ref="G16:G17"/>
    <mergeCell ref="H16:H17"/>
    <mergeCell ref="I16:I17"/>
    <mergeCell ref="J16:J17"/>
    <mergeCell ref="A18:A22"/>
    <mergeCell ref="I18:I22"/>
    <mergeCell ref="J18:J22"/>
    <mergeCell ref="A23:A27"/>
    <mergeCell ref="I23:I27"/>
    <mergeCell ref="J23:J27"/>
    <mergeCell ref="A28:A30"/>
    <mergeCell ref="I28:I30"/>
    <mergeCell ref="J28:J30"/>
    <mergeCell ref="A31:A34"/>
    <mergeCell ref="I31:I34"/>
    <mergeCell ref="J31:J34"/>
    <mergeCell ref="A36:A37"/>
    <mergeCell ref="I36:I37"/>
    <mergeCell ref="J36:J37"/>
    <mergeCell ref="A38:A42"/>
    <mergeCell ref="I38:I42"/>
    <mergeCell ref="J38:J42"/>
    <mergeCell ref="A53:A62"/>
    <mergeCell ref="I53:I62"/>
    <mergeCell ref="J53:J62"/>
    <mergeCell ref="A44:A45"/>
    <mergeCell ref="I44:I45"/>
    <mergeCell ref="J44:J45"/>
    <mergeCell ref="A46:A51"/>
    <mergeCell ref="I46:I51"/>
    <mergeCell ref="J46:J51"/>
  </mergeCells>
  <pageMargins left="0.70866141732283472" right="0.70866141732283472" top="0.74803149606299213" bottom="0.74803149606299213" header="0.31496062992125984" footer="0.31496062992125984"/>
  <pageSetup paperSize="9" scale="40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5"/>
  <sheetViews>
    <sheetView workbookViewId="0">
      <selection sqref="A1:J65"/>
    </sheetView>
  </sheetViews>
  <sheetFormatPr baseColWidth="10" defaultRowHeight="15" x14ac:dyDescent="0.25"/>
  <cols>
    <col min="2" max="2" width="32.140625" customWidth="1"/>
  </cols>
  <sheetData>
    <row r="1" spans="1:10" x14ac:dyDescent="0.2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5.75" x14ac:dyDescent="0.25">
      <c r="A2" s="1" t="s">
        <v>0</v>
      </c>
      <c r="B2" s="582" t="str">
        <f>'[7]F 1 _ Echant et Séchage'!D5</f>
        <v>STO-E15-PB-BAN</v>
      </c>
      <c r="C2" s="582"/>
      <c r="D2" s="582"/>
      <c r="E2" s="582"/>
      <c r="F2" s="582"/>
      <c r="G2" s="2"/>
      <c r="H2" s="2"/>
      <c r="I2" s="2"/>
      <c r="J2" s="2"/>
    </row>
    <row r="3" spans="1:10" x14ac:dyDescent="0.25">
      <c r="A3" s="1" t="s">
        <v>1</v>
      </c>
      <c r="B3" s="589" t="str">
        <f>'[7]F 1 _ Echant et Séchage'!D6</f>
        <v>CD 387 GW LEVALLOIS</v>
      </c>
      <c r="C3" s="589"/>
      <c r="D3" s="589"/>
      <c r="E3" s="589"/>
      <c r="F3" s="589"/>
      <c r="G3" s="3"/>
      <c r="H3" s="3"/>
      <c r="I3" s="3"/>
      <c r="J3" s="3"/>
    </row>
    <row r="4" spans="1:10" x14ac:dyDescent="0.25">
      <c r="A4" s="1" t="s">
        <v>2</v>
      </c>
      <c r="B4" s="249"/>
      <c r="C4" s="249" t="str">
        <f>'[7]F 1 _ Echant et Séchage'!D8</f>
        <v>SAINT OUEN</v>
      </c>
      <c r="D4" s="249"/>
      <c r="E4" s="249"/>
      <c r="F4" s="249"/>
      <c r="G4" s="3"/>
      <c r="H4" s="3"/>
      <c r="I4" s="3"/>
      <c r="J4" s="3"/>
    </row>
    <row r="5" spans="1:10" x14ac:dyDescent="0.25">
      <c r="A5" s="1" t="s">
        <v>3</v>
      </c>
      <c r="B5" s="249"/>
      <c r="C5" s="249" t="str">
        <f>'[7]F 1 _ Echant et Séchage'!E15</f>
        <v>sec, ensoleillé</v>
      </c>
      <c r="D5" s="249"/>
      <c r="E5" s="249"/>
      <c r="F5" s="249"/>
      <c r="G5" s="3"/>
      <c r="H5" s="3"/>
      <c r="I5" s="3"/>
      <c r="J5" s="3"/>
    </row>
    <row r="6" spans="1:10" x14ac:dyDescent="0.25">
      <c r="A6" s="1"/>
      <c r="B6" s="1"/>
      <c r="C6" s="1"/>
      <c r="D6" s="1"/>
      <c r="E6" s="1"/>
      <c r="F6" s="1"/>
      <c r="G6" s="1"/>
      <c r="H6" s="1"/>
      <c r="I6" s="1"/>
      <c r="J6" s="1"/>
    </row>
    <row r="7" spans="1:10" ht="18.75" x14ac:dyDescent="0.25">
      <c r="A7" s="584" t="s">
        <v>4</v>
      </c>
      <c r="B7" s="584"/>
      <c r="C7" s="584"/>
      <c r="D7" s="584"/>
      <c r="E7" s="584"/>
      <c r="F7" s="584"/>
      <c r="G7" s="584"/>
      <c r="H7" s="584"/>
      <c r="I7" s="584"/>
      <c r="J7" s="584"/>
    </row>
    <row r="8" spans="1:10" x14ac:dyDescent="0.25">
      <c r="A8" s="1"/>
      <c r="B8" s="1"/>
      <c r="C8" s="1"/>
      <c r="D8" s="1"/>
      <c r="E8" s="1"/>
      <c r="F8" s="1"/>
      <c r="G8" s="1"/>
      <c r="H8" s="1"/>
      <c r="I8" s="4"/>
      <c r="J8" s="1"/>
    </row>
    <row r="9" spans="1:10" x14ac:dyDescent="0.25">
      <c r="A9" s="1" t="s">
        <v>5</v>
      </c>
      <c r="B9" s="5">
        <f>'[7]F 1 _ Echant et Séchage'!B12</f>
        <v>42201</v>
      </c>
      <c r="C9" s="1"/>
      <c r="D9" s="583" t="s">
        <v>6</v>
      </c>
      <c r="E9" s="583"/>
      <c r="F9" s="583"/>
      <c r="G9" s="6">
        <f>'[7]F 1 _ Echant et Séchage'!G19</f>
        <v>127</v>
      </c>
      <c r="H9" s="6"/>
      <c r="I9" s="7"/>
      <c r="J9" s="1" t="s">
        <v>7</v>
      </c>
    </row>
    <row r="10" spans="1:10" x14ac:dyDescent="0.25">
      <c r="A10" s="1" t="s">
        <v>8</v>
      </c>
      <c r="B10" s="8" t="str">
        <f>'[7]F 1 _ Echant et Séchage'!E12</f>
        <v>22H00</v>
      </c>
      <c r="C10" s="1"/>
      <c r="D10" s="583" t="s">
        <v>9</v>
      </c>
      <c r="E10" s="583"/>
      <c r="F10" s="583"/>
      <c r="G10" s="249">
        <f>'[7]F 1 _ Echant et Séchage'!H26</f>
        <v>450</v>
      </c>
      <c r="H10" s="249"/>
      <c r="I10" s="9"/>
      <c r="J10" s="1" t="s">
        <v>10</v>
      </c>
    </row>
    <row r="11" spans="1:10" x14ac:dyDescent="0.25">
      <c r="A11" s="1"/>
      <c r="B11" s="583"/>
      <c r="C11" s="583"/>
      <c r="D11" s="583" t="s">
        <v>11</v>
      </c>
      <c r="E11" s="583"/>
      <c r="F11" s="583"/>
      <c r="G11" s="10">
        <f>G9/1000/G10</f>
        <v>2.8222222222222223E-4</v>
      </c>
      <c r="H11" s="10"/>
      <c r="I11" s="3"/>
      <c r="J11" s="3" t="s">
        <v>12</v>
      </c>
    </row>
    <row r="12" spans="1:10" x14ac:dyDescent="0.25">
      <c r="A12" s="1"/>
      <c r="B12" s="7"/>
      <c r="C12" s="1"/>
      <c r="D12" s="583" t="s">
        <v>13</v>
      </c>
      <c r="E12" s="583"/>
      <c r="F12" s="583"/>
      <c r="G12" s="237">
        <f>'[7]F 1 _ Echant et Séchage'!D51</f>
        <v>0.38456692913385832</v>
      </c>
      <c r="H12" s="11"/>
      <c r="I12" s="11"/>
      <c r="J12" s="1"/>
    </row>
    <row r="13" spans="1:10" x14ac:dyDescent="0.25">
      <c r="A13" s="1"/>
      <c r="B13" s="12"/>
      <c r="C13" s="1"/>
      <c r="D13" s="1"/>
      <c r="E13" s="1"/>
      <c r="F13" s="1"/>
      <c r="G13" s="234"/>
      <c r="H13" s="234"/>
      <c r="I13" s="234"/>
      <c r="J13" s="1"/>
    </row>
    <row r="14" spans="1:10" ht="18.75" x14ac:dyDescent="0.25">
      <c r="A14" s="584" t="s">
        <v>14</v>
      </c>
      <c r="B14" s="584"/>
      <c r="C14" s="584"/>
      <c r="D14" s="584"/>
      <c r="E14" s="584"/>
      <c r="F14" s="584"/>
      <c r="G14" s="584"/>
      <c r="H14" s="584"/>
      <c r="I14" s="584"/>
      <c r="J14" s="584"/>
    </row>
    <row r="15" spans="1:10" x14ac:dyDescent="0.25">
      <c r="A15" s="13"/>
      <c r="B15" s="13"/>
      <c r="C15" s="13"/>
      <c r="D15" s="13"/>
      <c r="E15" s="13"/>
      <c r="F15" s="13"/>
      <c r="G15" s="13"/>
      <c r="H15" s="13"/>
      <c r="I15" s="13"/>
      <c r="J15" s="13"/>
    </row>
    <row r="16" spans="1:10" ht="15.75" customHeight="1" thickBot="1" x14ac:dyDescent="0.3">
      <c r="A16" s="1"/>
      <c r="B16" s="1"/>
      <c r="C16" s="14" t="s">
        <v>15</v>
      </c>
      <c r="D16" s="15"/>
      <c r="E16" s="15"/>
      <c r="F16" s="15"/>
      <c r="G16" s="585" t="s">
        <v>16</v>
      </c>
      <c r="H16" s="587" t="s">
        <v>17</v>
      </c>
      <c r="I16" s="585" t="s">
        <v>18</v>
      </c>
      <c r="J16" s="587" t="s">
        <v>19</v>
      </c>
    </row>
    <row r="17" spans="1:10" ht="26.25" thickBot="1" x14ac:dyDescent="0.3">
      <c r="A17" s="138" t="s">
        <v>20</v>
      </c>
      <c r="B17" s="139" t="s">
        <v>21</v>
      </c>
      <c r="C17" s="16" t="s">
        <v>22</v>
      </c>
      <c r="D17" s="16" t="s">
        <v>23</v>
      </c>
      <c r="E17" s="16" t="s">
        <v>24</v>
      </c>
      <c r="F17" s="17" t="s">
        <v>25</v>
      </c>
      <c r="G17" s="586"/>
      <c r="H17" s="588"/>
      <c r="I17" s="586"/>
      <c r="J17" s="588"/>
    </row>
    <row r="18" spans="1:10" ht="15" customHeight="1" x14ac:dyDescent="0.25">
      <c r="A18" s="579" t="s">
        <v>26</v>
      </c>
      <c r="B18" s="18" t="s">
        <v>119</v>
      </c>
      <c r="C18" s="19">
        <f>'[7]F 4 TRI _ Granulo'!K5</f>
        <v>3.2851209677419364</v>
      </c>
      <c r="D18" s="20">
        <f>'[7]F 4 TRI _ Granulo'!H5</f>
        <v>9.000000000000008E-2</v>
      </c>
      <c r="E18" s="20">
        <f>'[7]F 4 TRI _ Granulo'!E5</f>
        <v>0</v>
      </c>
      <c r="F18" s="20">
        <f>SUM(C18:E18)</f>
        <v>3.3751209677419363</v>
      </c>
      <c r="G18" s="21">
        <f t="shared" ref="G18:G64" si="0">F18/$F$64</f>
        <v>4.1330569501996831E-2</v>
      </c>
      <c r="H18" s="21">
        <f>G18*J18/I18</f>
        <v>9.0494850790392087E-2</v>
      </c>
      <c r="I18" s="578">
        <f>G18+G19+G20+G21+G22</f>
        <v>8.0230771357806194E-2</v>
      </c>
      <c r="J18" s="578">
        <f>'[7]Calcul sous cat &gt;20'!N8/100</f>
        <v>0.17566831936520871</v>
      </c>
    </row>
    <row r="19" spans="1:10" x14ac:dyDescent="0.25">
      <c r="A19" s="580"/>
      <c r="B19" s="18" t="s">
        <v>27</v>
      </c>
      <c r="C19" s="19">
        <f>'[7]F 4 TRI _ Granulo'!K6</f>
        <v>3.1166532258064521</v>
      </c>
      <c r="D19" s="20">
        <f>'[7]F 4 TRI _ Granulo'!H6</f>
        <v>5.0000000000000044E-2</v>
      </c>
      <c r="E19" s="20">
        <f>'[7]F 4 TRI _ Granulo'!E6</f>
        <v>0</v>
      </c>
      <c r="F19" s="20">
        <f>SUM(C19:E19)</f>
        <v>3.1666532258064519</v>
      </c>
      <c r="G19" s="21">
        <f t="shared" si="0"/>
        <v>3.8777745298260717E-2</v>
      </c>
      <c r="H19" s="21">
        <f>G19*J18/I18</f>
        <v>8.4905345293739304E-2</v>
      </c>
      <c r="I19" s="578"/>
      <c r="J19" s="578"/>
    </row>
    <row r="20" spans="1:10" x14ac:dyDescent="0.25">
      <c r="A20" s="580"/>
      <c r="B20" s="18" t="s">
        <v>28</v>
      </c>
      <c r="C20" s="19">
        <f>'[7]F 4 TRI _ Granulo'!K7</f>
        <v>0</v>
      </c>
      <c r="D20" s="20">
        <f>'[7]F 4 TRI _ Granulo'!H7</f>
        <v>0</v>
      </c>
      <c r="E20" s="20">
        <f>'[7]F 4 TRI _ Granulo'!E7</f>
        <v>0</v>
      </c>
      <c r="F20" s="20">
        <f t="shared" ref="F20:F62" si="1">SUM(C20:E20)</f>
        <v>0</v>
      </c>
      <c r="G20" s="21">
        <f t="shared" si="0"/>
        <v>0</v>
      </c>
      <c r="H20" s="21">
        <f>G20*J18/I18</f>
        <v>0</v>
      </c>
      <c r="I20" s="578"/>
      <c r="J20" s="578"/>
    </row>
    <row r="21" spans="1:10" x14ac:dyDescent="0.25">
      <c r="A21" s="580"/>
      <c r="B21" s="18" t="s">
        <v>29</v>
      </c>
      <c r="C21" s="19">
        <f>'[7]F 4 TRI _ Granulo'!K8</f>
        <v>0</v>
      </c>
      <c r="D21" s="20">
        <f>'[7]F 4 TRI _ Granulo'!H8</f>
        <v>1.0000000000000009E-2</v>
      </c>
      <c r="E21" s="20">
        <f>'[7]F 4 TRI _ Granulo'!E8</f>
        <v>0</v>
      </c>
      <c r="F21" s="20">
        <f t="shared" si="1"/>
        <v>1.0000000000000009E-2</v>
      </c>
      <c r="G21" s="21">
        <f t="shared" si="0"/>
        <v>1.224565575486568E-4</v>
      </c>
      <c r="H21" s="21">
        <f>G21*J18/I18</f>
        <v>2.6812328107734786E-4</v>
      </c>
      <c r="I21" s="578"/>
      <c r="J21" s="578"/>
    </row>
    <row r="22" spans="1:10" x14ac:dyDescent="0.25">
      <c r="A22" s="581"/>
      <c r="B22" s="18" t="s">
        <v>30</v>
      </c>
      <c r="C22" s="19">
        <f>'[7]F 4 TRI _ Granulo'!K9</f>
        <v>0</v>
      </c>
      <c r="D22" s="20">
        <f>'[7]F 4 TRI _ Granulo'!H9</f>
        <v>0</v>
      </c>
      <c r="E22" s="20">
        <f>'[7]F 4 TRI _ Granulo'!E9</f>
        <v>0</v>
      </c>
      <c r="F22" s="20">
        <f t="shared" si="1"/>
        <v>0</v>
      </c>
      <c r="G22" s="21">
        <f t="shared" si="0"/>
        <v>0</v>
      </c>
      <c r="H22" s="21">
        <f>G22*J18/I18</f>
        <v>0</v>
      </c>
      <c r="I22" s="578"/>
      <c r="J22" s="578"/>
    </row>
    <row r="23" spans="1:10" x14ac:dyDescent="0.25">
      <c r="A23" s="567" t="s">
        <v>31</v>
      </c>
      <c r="B23" s="18" t="s">
        <v>32</v>
      </c>
      <c r="C23" s="19">
        <f>'[7]F 4 TRI _ Granulo'!K10</f>
        <v>0.58963709677419396</v>
      </c>
      <c r="D23" s="20">
        <f>'[7]F 4 TRI _ Granulo'!H10</f>
        <v>0.57000000000000028</v>
      </c>
      <c r="E23" s="20">
        <f>'[7]F 4 TRI _ Granulo'!E10</f>
        <v>0</v>
      </c>
      <c r="F23" s="20">
        <f t="shared" si="1"/>
        <v>1.1596370967741942</v>
      </c>
      <c r="G23" s="21">
        <f t="shared" si="0"/>
        <v>1.4200516687668628E-2</v>
      </c>
      <c r="H23" s="21">
        <f>'[7]Calcul sous cat &gt;20'!N32/100</f>
        <v>1.3054837519285276E-2</v>
      </c>
      <c r="I23" s="571">
        <f>G23+G24+G25+G26+G27</f>
        <v>0.22678806325078704</v>
      </c>
      <c r="J23" s="571">
        <f>'[7]Calcul sous cat &gt;20'!N9/100</f>
        <v>0.20318869299205669</v>
      </c>
    </row>
    <row r="24" spans="1:10" x14ac:dyDescent="0.25">
      <c r="A24" s="568"/>
      <c r="B24" s="18" t="s">
        <v>33</v>
      </c>
      <c r="C24" s="19">
        <f>'[7]F 4 TRI _ Granulo'!K11</f>
        <v>0.75810483870967804</v>
      </c>
      <c r="D24" s="20">
        <f>'[7]F 4 TRI _ Granulo'!H11</f>
        <v>6.4799999999999986</v>
      </c>
      <c r="E24" s="20">
        <f>'[7]F 4 TRI _ Granulo'!E11</f>
        <v>0</v>
      </c>
      <c r="F24" s="20">
        <f t="shared" si="1"/>
        <v>7.2381048387096767</v>
      </c>
      <c r="G24" s="21">
        <f t="shared" si="0"/>
        <v>8.8635340172466201E-2</v>
      </c>
      <c r="H24" s="21">
        <f>'[7]Calcul sous cat &gt;20'!N33/100</f>
        <v>7.8649003764615477E-2</v>
      </c>
      <c r="I24" s="571"/>
      <c r="J24" s="571"/>
    </row>
    <row r="25" spans="1:10" x14ac:dyDescent="0.25">
      <c r="A25" s="568"/>
      <c r="B25" s="18" t="s">
        <v>34</v>
      </c>
      <c r="C25" s="19">
        <f>'[7]F 4 TRI _ Granulo'!K12</f>
        <v>0.42116935483871004</v>
      </c>
      <c r="D25" s="20">
        <f>'[7]F 4 TRI _ Granulo'!H12</f>
        <v>0.51000000000000023</v>
      </c>
      <c r="E25" s="20">
        <f>'[7]F 4 TRI _ Granulo'!E12</f>
        <v>0</v>
      </c>
      <c r="F25" s="20">
        <f t="shared" si="1"/>
        <v>0.93116935483871033</v>
      </c>
      <c r="G25" s="21">
        <f t="shared" si="0"/>
        <v>1.1402779368835205E-2</v>
      </c>
      <c r="H25" s="21">
        <f>'[7]Calcul sous cat &gt;20'!N34/100</f>
        <v>1.011805489505176E-2</v>
      </c>
      <c r="I25" s="571"/>
      <c r="J25" s="571"/>
    </row>
    <row r="26" spans="1:10" x14ac:dyDescent="0.25">
      <c r="A26" s="568"/>
      <c r="B26" s="18" t="s">
        <v>35</v>
      </c>
      <c r="C26" s="19">
        <f>'[7]F 4 TRI _ Granulo'!K13</f>
        <v>3.7905241935483884</v>
      </c>
      <c r="D26" s="20">
        <f>'[7]F 4 TRI _ Granulo'!H13</f>
        <v>3.1300000000000003</v>
      </c>
      <c r="E26" s="20">
        <f>'[7]F 4 TRI _ Granulo'!E13</f>
        <v>0</v>
      </c>
      <c r="F26" s="20">
        <f t="shared" si="1"/>
        <v>6.9205241935483883</v>
      </c>
      <c r="G26" s="21">
        <f t="shared" si="0"/>
        <v>8.4746356917412918E-2</v>
      </c>
      <c r="H26" s="21">
        <f>'[7]Calcul sous cat &gt;20'!N35/100</f>
        <v>7.5926436112455989E-2</v>
      </c>
      <c r="I26" s="571"/>
      <c r="J26" s="571"/>
    </row>
    <row r="27" spans="1:10" x14ac:dyDescent="0.25">
      <c r="A27" s="570"/>
      <c r="B27" s="18" t="s">
        <v>36</v>
      </c>
      <c r="C27" s="19">
        <f>'[7]F 4 TRI _ Granulo'!K14</f>
        <v>1.6004435483870978</v>
      </c>
      <c r="D27" s="20">
        <f>'[7]F 4 TRI _ Granulo'!H14</f>
        <v>0.66999999999999993</v>
      </c>
      <c r="E27" s="20">
        <f>'[7]F 4 TRI _ Granulo'!E14</f>
        <v>0</v>
      </c>
      <c r="F27" s="20">
        <f t="shared" si="1"/>
        <v>2.2704435483870977</v>
      </c>
      <c r="G27" s="21">
        <f t="shared" si="0"/>
        <v>2.7803070104404096E-2</v>
      </c>
      <c r="H27" s="21">
        <f>'[7]Calcul sous cat &gt;20'!N36/100</f>
        <v>2.5440360700648208E-2</v>
      </c>
      <c r="I27" s="571"/>
      <c r="J27" s="571"/>
    </row>
    <row r="28" spans="1:10" x14ac:dyDescent="0.25">
      <c r="A28" s="567" t="s">
        <v>37</v>
      </c>
      <c r="B28" s="18" t="s">
        <v>38</v>
      </c>
      <c r="C28" s="19">
        <f>'[7]F 4 TRI _ Granulo'!K15</f>
        <v>4.4643951612903239</v>
      </c>
      <c r="D28" s="20">
        <f>'[7]F 4 TRI _ Granulo'!H15</f>
        <v>1.9300000000000002</v>
      </c>
      <c r="E28" s="20">
        <f>'[7]F 4 TRI _ Granulo'!E15</f>
        <v>0</v>
      </c>
      <c r="F28" s="20">
        <f t="shared" si="1"/>
        <v>6.3943951612903245</v>
      </c>
      <c r="G28" s="21">
        <f t="shared" si="0"/>
        <v>7.8303561905740046E-2</v>
      </c>
      <c r="H28" s="21">
        <f>'[7]Calcul sous cat &gt;20'!N37/100</f>
        <v>7.0131886018011166E-2</v>
      </c>
      <c r="I28" s="571">
        <f>G28+G29+G30</f>
        <v>0.1214082701628672</v>
      </c>
      <c r="J28" s="571">
        <f>'[7]Calcul sous cat &gt;20'!N10/100</f>
        <v>0.10878955531693682</v>
      </c>
    </row>
    <row r="29" spans="1:10" x14ac:dyDescent="0.25">
      <c r="A29" s="568"/>
      <c r="B29" s="18" t="s">
        <v>39</v>
      </c>
      <c r="C29" s="19">
        <f>'[7]F 4 TRI _ Granulo'!K16</f>
        <v>0</v>
      </c>
      <c r="D29" s="20">
        <f>'[7]F 4 TRI _ Granulo'!H16</f>
        <v>3.52</v>
      </c>
      <c r="E29" s="20">
        <f>'[7]F 4 TRI _ Granulo'!E16</f>
        <v>0</v>
      </c>
      <c r="F29" s="20">
        <f t="shared" si="1"/>
        <v>3.52</v>
      </c>
      <c r="G29" s="21">
        <f t="shared" si="0"/>
        <v>4.3104708257127158E-2</v>
      </c>
      <c r="H29" s="21">
        <f>'[7]Calcul sous cat &gt;20'!N38/100</f>
        <v>3.8657669298925647E-2</v>
      </c>
      <c r="I29" s="571"/>
      <c r="J29" s="571"/>
    </row>
    <row r="30" spans="1:10" x14ac:dyDescent="0.25">
      <c r="A30" s="570"/>
      <c r="B30" s="18" t="s">
        <v>40</v>
      </c>
      <c r="C30" s="19">
        <f>'[7]F 4 TRI _ Granulo'!K17</f>
        <v>0</v>
      </c>
      <c r="D30" s="20">
        <f>'[7]F 4 TRI _ Granulo'!H17</f>
        <v>0</v>
      </c>
      <c r="E30" s="20">
        <f>'[7]F 4 TRI _ Granulo'!E17</f>
        <v>0</v>
      </c>
      <c r="F30" s="20">
        <f t="shared" si="1"/>
        <v>0</v>
      </c>
      <c r="G30" s="21">
        <f t="shared" si="0"/>
        <v>0</v>
      </c>
      <c r="H30" s="21">
        <f>'[7]Calcul sous cat &gt;20'!N39/100</f>
        <v>0</v>
      </c>
      <c r="I30" s="571"/>
      <c r="J30" s="571"/>
    </row>
    <row r="31" spans="1:10" ht="15" customHeight="1" x14ac:dyDescent="0.25">
      <c r="A31" s="572" t="s">
        <v>41</v>
      </c>
      <c r="B31" s="18" t="s">
        <v>42</v>
      </c>
      <c r="C31" s="19">
        <f>'[7]F 4 TRI _ Granulo'!K18</f>
        <v>0.75810483870967804</v>
      </c>
      <c r="D31" s="20">
        <f>'[7]F 4 TRI _ Granulo'!H18</f>
        <v>0.39000000000000012</v>
      </c>
      <c r="E31" s="20">
        <f>'[7]F 4 TRI _ Granulo'!E18</f>
        <v>0</v>
      </c>
      <c r="F31" s="20">
        <f t="shared" si="1"/>
        <v>1.1481048387096782</v>
      </c>
      <c r="G31" s="21">
        <f t="shared" si="0"/>
        <v>1.4059296625334292E-2</v>
      </c>
      <c r="H31" s="243">
        <f>G31*J31/I31</f>
        <v>1.585541780004545E-2</v>
      </c>
      <c r="I31" s="575">
        <f>G31+G32+G33+G34</f>
        <v>3.2451975303277501E-2</v>
      </c>
      <c r="J31" s="575">
        <f>'[7]Calcul sous cat &gt;20'!N11/100</f>
        <v>3.6597821397625366E-2</v>
      </c>
    </row>
    <row r="32" spans="1:10" x14ac:dyDescent="0.25">
      <c r="A32" s="573"/>
      <c r="B32" s="18" t="s">
        <v>43</v>
      </c>
      <c r="C32" s="19">
        <f>'[7]F 4 TRI _ Granulo'!K19</f>
        <v>1.4319758064516139</v>
      </c>
      <c r="D32" s="20">
        <f>'[7]F 4 TRI _ Granulo'!H19</f>
        <v>7.0000000000000062E-2</v>
      </c>
      <c r="E32" s="20">
        <f>'[7]F 4 TRI _ Granulo'!E19</f>
        <v>0</v>
      </c>
      <c r="F32" s="20">
        <f t="shared" si="1"/>
        <v>1.501975806451614</v>
      </c>
      <c r="G32" s="21">
        <f t="shared" si="0"/>
        <v>1.8392678677943211E-2</v>
      </c>
      <c r="H32" s="243">
        <f>G32*J31/I31</f>
        <v>2.0742403597579919E-2</v>
      </c>
      <c r="I32" s="576"/>
      <c r="J32" s="576"/>
    </row>
    <row r="33" spans="1:10" ht="25.5" x14ac:dyDescent="0.25">
      <c r="A33" s="573"/>
      <c r="B33" s="18" t="s">
        <v>44</v>
      </c>
      <c r="C33" s="19">
        <f>'[7]F 4 TRI _ Granulo'!K20</f>
        <v>0</v>
      </c>
      <c r="D33" s="20">
        <f>'[7]F 4 TRI _ Granulo'!H20</f>
        <v>0</v>
      </c>
      <c r="E33" s="20">
        <f>'[7]F 4 TRI _ Granulo'!E20</f>
        <v>0</v>
      </c>
      <c r="F33" s="20">
        <f t="shared" si="1"/>
        <v>0</v>
      </c>
      <c r="G33" s="21">
        <f t="shared" si="0"/>
        <v>0</v>
      </c>
      <c r="H33" s="243">
        <f>G33*J31/I31</f>
        <v>0</v>
      </c>
      <c r="I33" s="576"/>
      <c r="J33" s="576"/>
    </row>
    <row r="34" spans="1:10" x14ac:dyDescent="0.25">
      <c r="A34" s="574"/>
      <c r="B34" s="18" t="s">
        <v>120</v>
      </c>
      <c r="C34" s="19">
        <f>'[7]F 4 TRI _ Granulo'!K21</f>
        <v>0</v>
      </c>
      <c r="D34" s="20">
        <f>'[7]F 4 TRI _ Granulo'!H21</f>
        <v>0</v>
      </c>
      <c r="E34" s="20">
        <f>'[7]F 4 TRI _ Granulo'!E21</f>
        <v>0</v>
      </c>
      <c r="F34" s="20">
        <f t="shared" si="1"/>
        <v>0</v>
      </c>
      <c r="G34" s="21">
        <f t="shared" si="0"/>
        <v>0</v>
      </c>
      <c r="H34" s="243">
        <f>G34*J31/I31</f>
        <v>0</v>
      </c>
      <c r="I34" s="577"/>
      <c r="J34" s="577"/>
    </row>
    <row r="35" spans="1:10" ht="15" customHeight="1" x14ac:dyDescent="0.25">
      <c r="A35" s="245" t="s">
        <v>45</v>
      </c>
      <c r="B35" s="18" t="s">
        <v>46</v>
      </c>
      <c r="C35" s="19">
        <f>'[7]F 4 TRI _ Granulo'!K22</f>
        <v>0.25270161290322601</v>
      </c>
      <c r="D35" s="20">
        <f>'[7]F 4 TRI _ Granulo'!H22</f>
        <v>0.81</v>
      </c>
      <c r="E35" s="20">
        <f>'[7]F 4 TRI _ Granulo'!E22</f>
        <v>0</v>
      </c>
      <c r="F35" s="20">
        <f t="shared" si="1"/>
        <v>1.0627016129032261</v>
      </c>
      <c r="G35" s="21">
        <f t="shared" si="0"/>
        <v>1.301347812175342E-2</v>
      </c>
      <c r="H35" s="21">
        <f>'[7]Calcul sous cat &gt;20'!N43/100</f>
        <v>1.1650027683581031E-2</v>
      </c>
      <c r="I35" s="246">
        <f>G35</f>
        <v>1.301347812175342E-2</v>
      </c>
      <c r="J35" s="246">
        <f>'[7]Calcul sous cat &gt;20'!N12/100</f>
        <v>1.1650027683581031E-2</v>
      </c>
    </row>
    <row r="36" spans="1:10" ht="15" customHeight="1" x14ac:dyDescent="0.25">
      <c r="A36" s="567" t="s">
        <v>47</v>
      </c>
      <c r="B36" s="18" t="s">
        <v>48</v>
      </c>
      <c r="C36" s="19">
        <f>'[7]F 4 TRI _ Granulo'!K23</f>
        <v>0.42116935483871004</v>
      </c>
      <c r="D36" s="20">
        <f>'[7]F 4 TRI _ Granulo'!H23</f>
        <v>0.27</v>
      </c>
      <c r="E36" s="20">
        <f>'[7]F 4 TRI _ Granulo'!E23</f>
        <v>0</v>
      </c>
      <c r="F36" s="20">
        <f t="shared" si="1"/>
        <v>0.69116935483871011</v>
      </c>
      <c r="G36" s="21">
        <f t="shared" si="0"/>
        <v>8.4638219876674425E-3</v>
      </c>
      <c r="H36" s="21">
        <f>'[7]Calcul sous cat &gt;20'!N44/100</f>
        <v>7.9476684291102679E-3</v>
      </c>
      <c r="I36" s="571">
        <f>G36+G37</f>
        <v>7.0669284340176428E-2</v>
      </c>
      <c r="J36" s="571">
        <f>'[7]Calcul sous cat &gt;20'!N13/100</f>
        <v>6.5104609187230197E-2</v>
      </c>
    </row>
    <row r="37" spans="1:10" ht="25.5" x14ac:dyDescent="0.25">
      <c r="A37" s="570"/>
      <c r="B37" s="18" t="s">
        <v>49</v>
      </c>
      <c r="C37" s="19">
        <f>'[7]F 4 TRI _ Granulo'!K24</f>
        <v>4.9697983870967759</v>
      </c>
      <c r="D37" s="20">
        <f>'[7]F 4 TRI _ Granulo'!H24</f>
        <v>0.1100000000000001</v>
      </c>
      <c r="E37" s="20">
        <f>'[7]F 4 TRI _ Granulo'!E24</f>
        <v>0</v>
      </c>
      <c r="F37" s="20">
        <f t="shared" si="1"/>
        <v>5.0797983870967762</v>
      </c>
      <c r="G37" s="21">
        <f t="shared" si="0"/>
        <v>6.2205462352508983E-2</v>
      </c>
      <c r="H37" s="21">
        <f>'[7]Calcul sous cat &gt;20'!N45/100</f>
        <v>5.7156940758119931E-2</v>
      </c>
      <c r="I37" s="571"/>
      <c r="J37" s="571"/>
    </row>
    <row r="38" spans="1:10" x14ac:dyDescent="0.25">
      <c r="A38" s="567" t="s">
        <v>50</v>
      </c>
      <c r="B38" s="18" t="s">
        <v>51</v>
      </c>
      <c r="C38" s="19">
        <f>'[7]F 4 TRI _ Granulo'!K25</f>
        <v>2.6112500000000001</v>
      </c>
      <c r="D38" s="20">
        <f>'[7]F 4 TRI _ Granulo'!H25</f>
        <v>5.8900000000000006</v>
      </c>
      <c r="E38" s="20">
        <f>'[7]F 4 TRI _ Granulo'!E25</f>
        <v>0</v>
      </c>
      <c r="F38" s="20">
        <f t="shared" si="1"/>
        <v>8.5012500000000006</v>
      </c>
      <c r="G38" s="21">
        <f t="shared" si="0"/>
        <v>0.10410338098605178</v>
      </c>
      <c r="H38" s="21">
        <f>'[7]Calcul sous cat &gt;20'!N46/100</f>
        <v>0.10763179921364072</v>
      </c>
      <c r="I38" s="571">
        <f>G38+G39+G40+G41+G42</f>
        <v>0.26440296502877725</v>
      </c>
      <c r="J38" s="571">
        <f>'[7]Calcul sous cat &gt;20'!N14/100</f>
        <v>0.26706364795958315</v>
      </c>
    </row>
    <row r="39" spans="1:10" x14ac:dyDescent="0.25">
      <c r="A39" s="568"/>
      <c r="B39" s="18" t="s">
        <v>52</v>
      </c>
      <c r="C39" s="19">
        <f>'[7]F 4 TRI _ Granulo'!K26</f>
        <v>1.6004435483870978</v>
      </c>
      <c r="D39" s="20">
        <f>'[7]F 4 TRI _ Granulo'!H26</f>
        <v>1.5200000000000005</v>
      </c>
      <c r="E39" s="20">
        <f>'[7]F 4 TRI _ Granulo'!E26</f>
        <v>0</v>
      </c>
      <c r="F39" s="20">
        <f t="shared" si="1"/>
        <v>3.1204435483870983</v>
      </c>
      <c r="G39" s="21">
        <f t="shared" si="0"/>
        <v>3.8211877496039923E-2</v>
      </c>
      <c r="H39" s="21">
        <f>'[7]Calcul sous cat &gt;20'!N47/100</f>
        <v>3.5289333212174583E-2</v>
      </c>
      <c r="I39" s="571"/>
      <c r="J39" s="571"/>
    </row>
    <row r="40" spans="1:10" ht="25.5" x14ac:dyDescent="0.25">
      <c r="A40" s="568"/>
      <c r="B40" s="18" t="s">
        <v>53</v>
      </c>
      <c r="C40" s="19">
        <f>'[7]F 4 TRI _ Granulo'!K27</f>
        <v>0.9265725806451619</v>
      </c>
      <c r="D40" s="20">
        <f>'[7]F 4 TRI _ Granulo'!H27</f>
        <v>0.55000000000000027</v>
      </c>
      <c r="E40" s="20">
        <f>'[7]F 4 TRI _ Granulo'!E27</f>
        <v>0</v>
      </c>
      <c r="F40" s="20">
        <f t="shared" si="1"/>
        <v>1.4765725806451622</v>
      </c>
      <c r="G40" s="21">
        <f t="shared" si="0"/>
        <v>1.8081599519654282E-2</v>
      </c>
      <c r="H40" s="21">
        <f>'[7]Calcul sous cat &gt;20'!N48/100</f>
        <v>1.6694224720089627E-2</v>
      </c>
      <c r="I40" s="571"/>
      <c r="J40" s="571"/>
    </row>
    <row r="41" spans="1:10" x14ac:dyDescent="0.25">
      <c r="A41" s="568"/>
      <c r="B41" s="18" t="s">
        <v>54</v>
      </c>
      <c r="C41" s="19">
        <f>'[7]F 4 TRI _ Granulo'!K28</f>
        <v>3.9589919354838718</v>
      </c>
      <c r="D41" s="20">
        <f>'[7]F 4 TRI _ Granulo'!H28</f>
        <v>1.0300000000000002</v>
      </c>
      <c r="E41" s="20">
        <f>'[7]F 4 TRI _ Granulo'!E28</f>
        <v>0</v>
      </c>
      <c r="F41" s="20">
        <f t="shared" si="1"/>
        <v>4.9889919354838721</v>
      </c>
      <c r="G41" s="21">
        <f t="shared" si="0"/>
        <v>6.1093477805736492E-2</v>
      </c>
      <c r="H41" s="21">
        <f>'[7]Calcul sous cat &gt;20'!N49/100</f>
        <v>6.3110970407981054E-2</v>
      </c>
      <c r="I41" s="571"/>
      <c r="J41" s="571"/>
    </row>
    <row r="42" spans="1:10" x14ac:dyDescent="0.25">
      <c r="A42" s="570"/>
      <c r="B42" s="18" t="s">
        <v>55</v>
      </c>
      <c r="C42" s="19">
        <f>'[7]F 4 TRI _ Granulo'!K29</f>
        <v>2.2743145161290323</v>
      </c>
      <c r="D42" s="20">
        <f>'[7]F 4 TRI _ Granulo'!H29</f>
        <v>1.23</v>
      </c>
      <c r="E42" s="20">
        <f>'[7]F 4 TRI _ Granulo'!E29</f>
        <v>0</v>
      </c>
      <c r="F42" s="20">
        <f t="shared" si="1"/>
        <v>3.5043145161290323</v>
      </c>
      <c r="G42" s="21">
        <f t="shared" si="0"/>
        <v>4.2912629221294789E-2</v>
      </c>
      <c r="H42" s="21">
        <f>'[7]Calcul sous cat &gt;20'!N50/100</f>
        <v>4.4337320405697177E-2</v>
      </c>
      <c r="I42" s="571"/>
      <c r="J42" s="571"/>
    </row>
    <row r="43" spans="1:10" ht="38.25" x14ac:dyDescent="0.25">
      <c r="A43" s="245" t="s">
        <v>56</v>
      </c>
      <c r="B43" s="18" t="s">
        <v>56</v>
      </c>
      <c r="C43" s="19">
        <f>'[7]F 4 TRI _ Granulo'!K30</f>
        <v>0.42116935483871004</v>
      </c>
      <c r="D43" s="20">
        <f>'[7]F 4 TRI _ Granulo'!H30</f>
        <v>0.55000000000000027</v>
      </c>
      <c r="E43" s="20">
        <f>'[7]F 4 TRI _ Granulo'!E30</f>
        <v>0</v>
      </c>
      <c r="F43" s="20">
        <f t="shared" si="1"/>
        <v>0.97116935483871036</v>
      </c>
      <c r="G43" s="21">
        <f t="shared" si="0"/>
        <v>1.1892605599029833E-2</v>
      </c>
      <c r="H43" s="21">
        <f>J43</f>
        <v>1.0872611246940308E-2</v>
      </c>
      <c r="I43" s="246">
        <f>G43</f>
        <v>1.1892605599029833E-2</v>
      </c>
      <c r="J43" s="246">
        <f>'[7]Calcul sous cat &gt;20'!N15/100</f>
        <v>1.0872611246940308E-2</v>
      </c>
    </row>
    <row r="44" spans="1:10" ht="25.5" x14ac:dyDescent="0.25">
      <c r="A44" s="567" t="s">
        <v>57</v>
      </c>
      <c r="B44" s="18" t="s">
        <v>58</v>
      </c>
      <c r="C44" s="19">
        <f>'[7]F 4 TRI _ Granulo'!K31</f>
        <v>1.2635080645161301</v>
      </c>
      <c r="D44" s="20">
        <f>'[7]F 4 TRI _ Granulo'!H31</f>
        <v>0.45000000000000018</v>
      </c>
      <c r="E44" s="20">
        <f>'[7]F 4 TRI _ Granulo'!E31</f>
        <v>0</v>
      </c>
      <c r="F44" s="20">
        <f t="shared" si="1"/>
        <v>1.7135080645161302</v>
      </c>
      <c r="G44" s="21">
        <f t="shared" si="0"/>
        <v>2.0983029891250685E-2</v>
      </c>
      <c r="H44" s="21">
        <f>G44*J44/I44</f>
        <v>1.8760670213898552E-2</v>
      </c>
      <c r="I44" s="571">
        <f>G44+G45</f>
        <v>3.2941801533472134E-2</v>
      </c>
      <c r="J44" s="571">
        <f>'[7]Calcul sous cat &gt;20'!N16/100</f>
        <v>2.9452861575480133E-2</v>
      </c>
    </row>
    <row r="45" spans="1:10" x14ac:dyDescent="0.25">
      <c r="A45" s="570"/>
      <c r="B45" s="18" t="s">
        <v>59</v>
      </c>
      <c r="C45" s="19">
        <f>'[7]F 4 TRI _ Granulo'!K32</f>
        <v>0.9265725806451619</v>
      </c>
      <c r="D45" s="20">
        <f>'[7]F 4 TRI _ Granulo'!H32</f>
        <v>5.0000000000000044E-2</v>
      </c>
      <c r="E45" s="20">
        <f>'[7]F 4 TRI _ Granulo'!E32</f>
        <v>0</v>
      </c>
      <c r="F45" s="20">
        <f t="shared" si="1"/>
        <v>0.97657258064516195</v>
      </c>
      <c r="G45" s="21">
        <f t="shared" si="0"/>
        <v>1.1958771642221446E-2</v>
      </c>
      <c r="H45" s="21">
        <f>G45*J44/I44</f>
        <v>1.0692191361581577E-2</v>
      </c>
      <c r="I45" s="571"/>
      <c r="J45" s="571"/>
    </row>
    <row r="46" spans="1:10" ht="25.5" x14ac:dyDescent="0.25">
      <c r="A46" s="567" t="s">
        <v>60</v>
      </c>
      <c r="B46" s="18" t="s">
        <v>61</v>
      </c>
      <c r="C46" s="19">
        <f>'[7]F 4 TRI _ Granulo'!K33</f>
        <v>1.2635080645161301</v>
      </c>
      <c r="D46" s="20">
        <f>'[7]F 4 TRI _ Granulo'!H33</f>
        <v>0.69</v>
      </c>
      <c r="E46" s="20">
        <f>'[7]F 4 TRI _ Granulo'!E33</f>
        <v>0</v>
      </c>
      <c r="F46" s="20">
        <f t="shared" si="1"/>
        <v>1.95350806451613</v>
      </c>
      <c r="G46" s="21">
        <f t="shared" si="0"/>
        <v>2.3921987272418444E-2</v>
      </c>
      <c r="H46" s="21">
        <f t="shared" ref="H46:H51" si="2">G46*$J$46/$I$46</f>
        <v>2.208569730215354E-2</v>
      </c>
      <c r="I46" s="571">
        <f>G46+G47+G50+G51+G48+G49</f>
        <v>4.0797784721371841E-2</v>
      </c>
      <c r="J46" s="571">
        <f>'[7]Calcul sous cat &gt;20'!N17/100</f>
        <v>3.7666081571472623E-2</v>
      </c>
    </row>
    <row r="47" spans="1:10" x14ac:dyDescent="0.25">
      <c r="A47" s="568"/>
      <c r="B47" s="18" t="s">
        <v>62</v>
      </c>
      <c r="C47" s="19">
        <f>'[7]F 4 TRI _ Granulo'!K34</f>
        <v>0.75810483870967804</v>
      </c>
      <c r="D47" s="20">
        <f>'[7]F 4 TRI _ Granulo'!H34</f>
        <v>0</v>
      </c>
      <c r="E47" s="20">
        <f>'[7]F 4 TRI _ Granulo'!E34</f>
        <v>0</v>
      </c>
      <c r="F47" s="20">
        <f t="shared" si="1"/>
        <v>0.75810483870967804</v>
      </c>
      <c r="G47" s="21">
        <f t="shared" si="0"/>
        <v>9.2834908809366797E-3</v>
      </c>
      <c r="H47" s="21">
        <f t="shared" si="2"/>
        <v>8.5708752859369793E-3</v>
      </c>
      <c r="I47" s="571"/>
      <c r="J47" s="571"/>
    </row>
    <row r="48" spans="1:10" x14ac:dyDescent="0.25">
      <c r="A48" s="568"/>
      <c r="B48" s="18" t="s">
        <v>63</v>
      </c>
      <c r="C48" s="19">
        <f>'[7]F 4 TRI _ Granulo'!K35</f>
        <v>0</v>
      </c>
      <c r="D48" s="20">
        <f>'[7]F 4 TRI _ Granulo'!H35</f>
        <v>0</v>
      </c>
      <c r="E48" s="20">
        <f>'[7]F 4 TRI _ Granulo'!E35</f>
        <v>0</v>
      </c>
      <c r="F48" s="20">
        <f t="shared" si="1"/>
        <v>0</v>
      </c>
      <c r="G48" s="21">
        <f t="shared" si="0"/>
        <v>0</v>
      </c>
      <c r="H48" s="21">
        <f t="shared" si="2"/>
        <v>0</v>
      </c>
      <c r="I48" s="571"/>
      <c r="J48" s="571"/>
    </row>
    <row r="49" spans="1:10" x14ac:dyDescent="0.25">
      <c r="A49" s="568"/>
      <c r="B49" s="18" t="s">
        <v>64</v>
      </c>
      <c r="C49" s="19">
        <f>'[7]F 4 TRI _ Granulo'!K36</f>
        <v>0</v>
      </c>
      <c r="D49" s="20">
        <f>'[7]F 4 TRI _ Granulo'!H36</f>
        <v>0</v>
      </c>
      <c r="E49" s="20">
        <f>'[7]F 4 TRI _ Granulo'!E36</f>
        <v>0</v>
      </c>
      <c r="F49" s="20">
        <f t="shared" si="1"/>
        <v>0</v>
      </c>
      <c r="G49" s="21">
        <f t="shared" si="0"/>
        <v>0</v>
      </c>
      <c r="H49" s="21">
        <f t="shared" si="2"/>
        <v>0</v>
      </c>
      <c r="I49" s="571"/>
      <c r="J49" s="571"/>
    </row>
    <row r="50" spans="1:10" x14ac:dyDescent="0.25">
      <c r="A50" s="568"/>
      <c r="B50" s="18" t="s">
        <v>65</v>
      </c>
      <c r="C50" s="19">
        <f>'[7]F 4 TRI _ Granulo'!K37</f>
        <v>0</v>
      </c>
      <c r="D50" s="20">
        <f>'[7]F 4 TRI _ Granulo'!H37</f>
        <v>0.60999999999999988</v>
      </c>
      <c r="E50" s="20">
        <f>'[7]F 4 TRI _ Granulo'!E37</f>
        <v>0</v>
      </c>
      <c r="F50" s="20">
        <f t="shared" si="1"/>
        <v>0.60999999999999988</v>
      </c>
      <c r="G50" s="21">
        <f t="shared" si="0"/>
        <v>7.4698500104680571E-3</v>
      </c>
      <c r="H50" s="21">
        <f t="shared" si="2"/>
        <v>6.8964523868759366E-3</v>
      </c>
      <c r="I50" s="571"/>
      <c r="J50" s="571"/>
    </row>
    <row r="51" spans="1:10" x14ac:dyDescent="0.25">
      <c r="A51" s="570"/>
      <c r="B51" s="18" t="s">
        <v>66</v>
      </c>
      <c r="C51" s="19">
        <f>'[7]F 4 TRI _ Granulo'!K38</f>
        <v>0</v>
      </c>
      <c r="D51" s="20">
        <f>'[7]F 4 TRI _ Granulo'!H38</f>
        <v>1.0000000000000009E-2</v>
      </c>
      <c r="E51" s="20">
        <f>'[7]F 4 TRI _ Granulo'!E38</f>
        <v>0</v>
      </c>
      <c r="F51" s="20">
        <f t="shared" si="1"/>
        <v>1.0000000000000009E-2</v>
      </c>
      <c r="G51" s="21">
        <f t="shared" si="0"/>
        <v>1.224565575486568E-4</v>
      </c>
      <c r="H51" s="21">
        <f t="shared" si="2"/>
        <v>1.1305659650616302E-4</v>
      </c>
      <c r="I51" s="571"/>
      <c r="J51" s="571"/>
    </row>
    <row r="52" spans="1:10" ht="15" customHeight="1" x14ac:dyDescent="0.25">
      <c r="A52" s="247" t="s">
        <v>67</v>
      </c>
      <c r="B52" s="18" t="s">
        <v>68</v>
      </c>
      <c r="C52" s="19">
        <f>'[7]F 4 TRI _ Granulo'!K39</f>
        <v>0.25270161290322601</v>
      </c>
      <c r="D52" s="20">
        <f>'[7]F 4 TRI _ Granulo'!H39</f>
        <v>1.0000000000000009E-2</v>
      </c>
      <c r="E52" s="20">
        <f>'[7]F 4 TRI _ Granulo'!E39</f>
        <v>0</v>
      </c>
      <c r="F52" s="20">
        <f t="shared" si="1"/>
        <v>0.26270161290322602</v>
      </c>
      <c r="G52" s="21">
        <f t="shared" si="0"/>
        <v>3.2169535178608833E-3</v>
      </c>
      <c r="H52" s="21">
        <f>J52</f>
        <v>3.2843546500400554E-3</v>
      </c>
      <c r="I52" s="248">
        <f>G52</f>
        <v>3.2169535178608833E-3</v>
      </c>
      <c r="J52" s="248">
        <f>'[7]Calcul sous cat &gt;20'!N18/100</f>
        <v>3.2843546500400554E-3</v>
      </c>
    </row>
    <row r="53" spans="1:10" ht="15" customHeight="1" x14ac:dyDescent="0.25">
      <c r="A53" s="567" t="s">
        <v>69</v>
      </c>
      <c r="B53" s="18" t="s">
        <v>121</v>
      </c>
      <c r="C53" s="19">
        <f>'[7]F 4 TRI _ Granulo'!K40</f>
        <v>0</v>
      </c>
      <c r="D53" s="20">
        <f>'[7]F 4 TRI _ Granulo'!H40</f>
        <v>0</v>
      </c>
      <c r="E53" s="20">
        <f>'[7]F 4 TRI _ Granulo'!E40</f>
        <v>0</v>
      </c>
      <c r="F53" s="20">
        <f t="shared" si="1"/>
        <v>0</v>
      </c>
      <c r="G53" s="238">
        <f t="shared" si="0"/>
        <v>0</v>
      </c>
      <c r="H53" s="250">
        <v>0</v>
      </c>
      <c r="I53" s="590">
        <f>SUM(G53:G62)</f>
        <v>1.2245655754865681E-3</v>
      </c>
      <c r="J53" s="590">
        <f>'[7]Calcul sous cat &gt;20'!N19/100</f>
        <v>1.1179744104326636E-3</v>
      </c>
    </row>
    <row r="54" spans="1:10" ht="25.5" x14ac:dyDescent="0.25">
      <c r="A54" s="568"/>
      <c r="B54" s="18" t="s">
        <v>70</v>
      </c>
      <c r="C54" s="19">
        <f>'[7]F 4 TRI _ Granulo'!K41</f>
        <v>0</v>
      </c>
      <c r="D54" s="20">
        <f>'[7]F 4 TRI _ Granulo'!H41</f>
        <v>0</v>
      </c>
      <c r="E54" s="20">
        <f>'[7]F 4 TRI _ Granulo'!E41</f>
        <v>0</v>
      </c>
      <c r="F54" s="20">
        <f t="shared" si="1"/>
        <v>0</v>
      </c>
      <c r="G54" s="238">
        <f t="shared" si="0"/>
        <v>0</v>
      </c>
      <c r="H54" s="21">
        <v>0</v>
      </c>
      <c r="I54" s="590"/>
      <c r="J54" s="590"/>
    </row>
    <row r="55" spans="1:10" x14ac:dyDescent="0.25">
      <c r="A55" s="568"/>
      <c r="B55" s="18" t="s">
        <v>71</v>
      </c>
      <c r="C55" s="19">
        <f>'[7]F 4 TRI _ Granulo'!K42</f>
        <v>0</v>
      </c>
      <c r="D55" s="20">
        <f>'[7]F 4 TRI _ Granulo'!H42</f>
        <v>0.10000000000000009</v>
      </c>
      <c r="E55" s="20">
        <f>'[7]F 4 TRI _ Granulo'!E42</f>
        <v>0</v>
      </c>
      <c r="F55" s="20">
        <f>SUM(C55:E55)</f>
        <v>0.10000000000000009</v>
      </c>
      <c r="G55" s="238">
        <f t="shared" si="0"/>
        <v>1.2245655754865681E-3</v>
      </c>
      <c r="H55" s="21">
        <v>1.1000000000000001E-3</v>
      </c>
      <c r="I55" s="590"/>
      <c r="J55" s="590"/>
    </row>
    <row r="56" spans="1:10" x14ac:dyDescent="0.25">
      <c r="A56" s="568"/>
      <c r="B56" s="18" t="s">
        <v>72</v>
      </c>
      <c r="C56" s="19">
        <f>'[7]F 4 TRI _ Granulo'!K43</f>
        <v>0</v>
      </c>
      <c r="D56" s="20">
        <f>'[7]F 4 TRI _ Granulo'!H43</f>
        <v>0</v>
      </c>
      <c r="E56" s="20">
        <f>'[7]F 4 TRI _ Granulo'!E43</f>
        <v>0</v>
      </c>
      <c r="F56" s="20">
        <f t="shared" si="1"/>
        <v>0</v>
      </c>
      <c r="G56" s="238">
        <f>F56/$F$64</f>
        <v>0</v>
      </c>
      <c r="H56" s="21">
        <v>0</v>
      </c>
      <c r="I56" s="590"/>
      <c r="J56" s="590"/>
    </row>
    <row r="57" spans="1:10" x14ac:dyDescent="0.25">
      <c r="A57" s="568"/>
      <c r="B57" s="18" t="s">
        <v>122</v>
      </c>
      <c r="C57" s="19">
        <f>'[7]F 4 TRI _ Granulo'!K44</f>
        <v>0</v>
      </c>
      <c r="D57" s="20">
        <f>'[7]F 4 TRI _ Granulo'!H44</f>
        <v>0</v>
      </c>
      <c r="E57" s="20">
        <f>'[7]F 4 TRI _ Granulo'!E44</f>
        <v>0</v>
      </c>
      <c r="F57" s="20">
        <f t="shared" si="1"/>
        <v>0</v>
      </c>
      <c r="G57" s="238">
        <f t="shared" ref="G57:G62" si="3">F57/$F$64</f>
        <v>0</v>
      </c>
      <c r="H57" s="21">
        <v>0</v>
      </c>
      <c r="I57" s="590"/>
      <c r="J57" s="590"/>
    </row>
    <row r="58" spans="1:10" x14ac:dyDescent="0.25">
      <c r="A58" s="568"/>
      <c r="B58" s="18" t="s">
        <v>123</v>
      </c>
      <c r="C58" s="19">
        <f>'[7]F 4 TRI _ Granulo'!K45</f>
        <v>0</v>
      </c>
      <c r="D58" s="20">
        <f>'[7]F 4 TRI _ Granulo'!H45</f>
        <v>0</v>
      </c>
      <c r="E58" s="20">
        <f>'[7]F 4 TRI _ Granulo'!E45</f>
        <v>0</v>
      </c>
      <c r="F58" s="20">
        <f t="shared" si="1"/>
        <v>0</v>
      </c>
      <c r="G58" s="238">
        <f t="shared" si="3"/>
        <v>0</v>
      </c>
      <c r="H58" s="21">
        <v>0</v>
      </c>
      <c r="I58" s="590"/>
      <c r="J58" s="590"/>
    </row>
    <row r="59" spans="1:10" x14ac:dyDescent="0.25">
      <c r="A59" s="568"/>
      <c r="B59" s="18" t="s">
        <v>124</v>
      </c>
      <c r="C59" s="19">
        <f>'[7]F 4 TRI _ Granulo'!K46</f>
        <v>0</v>
      </c>
      <c r="D59" s="20">
        <f>'[7]F 4 TRI _ Granulo'!H46</f>
        <v>0</v>
      </c>
      <c r="E59" s="20">
        <f>'[7]F 4 TRI _ Granulo'!E46</f>
        <v>0</v>
      </c>
      <c r="F59" s="20">
        <f t="shared" si="1"/>
        <v>0</v>
      </c>
      <c r="G59" s="238">
        <f t="shared" si="3"/>
        <v>0</v>
      </c>
      <c r="H59" s="21">
        <v>0</v>
      </c>
      <c r="I59" s="590"/>
      <c r="J59" s="590"/>
    </row>
    <row r="60" spans="1:10" x14ac:dyDescent="0.25">
      <c r="A60" s="568"/>
      <c r="B60" s="18" t="s">
        <v>125</v>
      </c>
      <c r="C60" s="19">
        <f>'[7]F 4 TRI _ Granulo'!K47</f>
        <v>0</v>
      </c>
      <c r="D60" s="20">
        <f>'[7]F 4 TRI _ Granulo'!H47</f>
        <v>0</v>
      </c>
      <c r="E60" s="20">
        <f>'[7]F 4 TRI _ Granulo'!E47</f>
        <v>0</v>
      </c>
      <c r="F60" s="20">
        <f t="shared" si="1"/>
        <v>0</v>
      </c>
      <c r="G60" s="238">
        <f t="shared" si="3"/>
        <v>0</v>
      </c>
      <c r="H60" s="21">
        <v>0</v>
      </c>
      <c r="I60" s="590"/>
      <c r="J60" s="590"/>
    </row>
    <row r="61" spans="1:10" x14ac:dyDescent="0.25">
      <c r="A61" s="568"/>
      <c r="B61" s="18" t="s">
        <v>126</v>
      </c>
      <c r="C61" s="19">
        <f>'[7]F 4 TRI _ Granulo'!K48</f>
        <v>0</v>
      </c>
      <c r="D61" s="20">
        <f>'[7]F 4 TRI _ Granulo'!H48</f>
        <v>0</v>
      </c>
      <c r="E61" s="20">
        <f>'[7]F 4 TRI _ Granulo'!E48</f>
        <v>0</v>
      </c>
      <c r="F61" s="20">
        <f t="shared" si="1"/>
        <v>0</v>
      </c>
      <c r="G61" s="238">
        <f t="shared" si="3"/>
        <v>0</v>
      </c>
      <c r="H61" s="21">
        <v>0</v>
      </c>
      <c r="I61" s="590"/>
      <c r="J61" s="590"/>
    </row>
    <row r="62" spans="1:10" x14ac:dyDescent="0.25">
      <c r="A62" s="569"/>
      <c r="B62" s="18" t="s">
        <v>73</v>
      </c>
      <c r="C62" s="19">
        <f>'[7]F 4 TRI _ Granulo'!K49</f>
        <v>0</v>
      </c>
      <c r="D62" s="20">
        <f>'[7]F 4 TRI _ Granulo'!H49</f>
        <v>0</v>
      </c>
      <c r="E62" s="20">
        <f>'[7]F 4 TRI _ Granulo'!E49</f>
        <v>0</v>
      </c>
      <c r="F62" s="20">
        <f t="shared" si="1"/>
        <v>0</v>
      </c>
      <c r="G62" s="238">
        <f t="shared" si="3"/>
        <v>0</v>
      </c>
      <c r="H62" s="21">
        <v>0</v>
      </c>
      <c r="I62" s="590"/>
      <c r="J62" s="590"/>
    </row>
    <row r="63" spans="1:10" x14ac:dyDescent="0.25">
      <c r="A63" s="22" t="s">
        <v>74</v>
      </c>
      <c r="B63" s="23">
        <f>'[7]F 3 _ Criblage et Tri'!C27+'[7]F 3 _ Criblage et Tri'!D27</f>
        <v>6.2000000000000011</v>
      </c>
      <c r="C63" s="19">
        <f>'[7]F 4 TRI _ Granulo'!K50</f>
        <v>1.6846774193548402</v>
      </c>
      <c r="D63" s="20">
        <f>'[7]F 4 TRI _ Granulo'!H50</f>
        <v>0.36000000000000032</v>
      </c>
      <c r="E63" s="20">
        <f>'[7]F 4 TRI _ Granulo'!E50</f>
        <v>0</v>
      </c>
      <c r="F63" s="19">
        <f>SUM(B63:E63)</f>
        <v>8.2446774193548418</v>
      </c>
      <c r="G63" s="21">
        <f t="shared" si="0"/>
        <v>0.10096148148733365</v>
      </c>
      <c r="H63" s="21">
        <f>J63</f>
        <v>4.9543442643412504E-2</v>
      </c>
      <c r="I63" s="24">
        <f>G63</f>
        <v>0.10096148148733365</v>
      </c>
      <c r="J63" s="24">
        <f>'[7]Calcul sous cat &gt;20'!N20/100</f>
        <v>4.9543442643412504E-2</v>
      </c>
    </row>
    <row r="64" spans="1:10" x14ac:dyDescent="0.25">
      <c r="A64" s="25" t="s">
        <v>25</v>
      </c>
      <c r="B64" s="90">
        <f>B63</f>
        <v>6.2000000000000011</v>
      </c>
      <c r="C64" s="19">
        <f>SUM(C18:C63)</f>
        <v>43.801612903225823</v>
      </c>
      <c r="D64" s="19">
        <f>SUM(D18:D63)</f>
        <v>31.660000000000007</v>
      </c>
      <c r="E64" s="19">
        <f>SUM(E18:E63)</f>
        <v>0</v>
      </c>
      <c r="F64" s="19">
        <f>SUM(B64:E64)</f>
        <v>81.66161290322583</v>
      </c>
      <c r="G64" s="21">
        <f t="shared" si="0"/>
        <v>1</v>
      </c>
      <c r="H64" s="21">
        <f>SUM(H18:H63)</f>
        <v>0.99998202558956784</v>
      </c>
      <c r="I64" s="24">
        <f>SUM(I18:I63)</f>
        <v>0.99999999999999989</v>
      </c>
      <c r="J64" s="24">
        <f>SUM(J18:J63)</f>
        <v>1.0000000000000002</v>
      </c>
    </row>
    <row r="65" spans="1:10" ht="51.75" x14ac:dyDescent="0.25">
      <c r="A65" s="26" t="s">
        <v>75</v>
      </c>
      <c r="B65" s="235">
        <f>B64/$F$64</f>
        <v>7.592306568016717E-2</v>
      </c>
      <c r="C65" s="235">
        <f>C64/$F$64</f>
        <v>0.53637947312078571</v>
      </c>
      <c r="D65" s="235">
        <f>D64/$F$64</f>
        <v>0.38769746119904719</v>
      </c>
      <c r="E65" s="235">
        <f>E64/$F$64</f>
        <v>0</v>
      </c>
      <c r="F65" s="235">
        <f>F64/$F$64</f>
        <v>1</v>
      </c>
      <c r="G65" s="1"/>
      <c r="H65" s="1"/>
      <c r="I65" s="1"/>
      <c r="J65" s="1"/>
    </row>
  </sheetData>
  <mergeCells count="40">
    <mergeCell ref="B2:F2"/>
    <mergeCell ref="B11:C11"/>
    <mergeCell ref="D11:F11"/>
    <mergeCell ref="B3:F3"/>
    <mergeCell ref="A7:J7"/>
    <mergeCell ref="D9:F9"/>
    <mergeCell ref="D10:F10"/>
    <mergeCell ref="D12:F12"/>
    <mergeCell ref="A14:J14"/>
    <mergeCell ref="G16:G17"/>
    <mergeCell ref="H16:H17"/>
    <mergeCell ref="I16:I17"/>
    <mergeCell ref="J16:J17"/>
    <mergeCell ref="A18:A22"/>
    <mergeCell ref="I18:I22"/>
    <mergeCell ref="J18:J22"/>
    <mergeCell ref="A23:A27"/>
    <mergeCell ref="I23:I27"/>
    <mergeCell ref="J23:J27"/>
    <mergeCell ref="A28:A30"/>
    <mergeCell ref="I28:I30"/>
    <mergeCell ref="J28:J30"/>
    <mergeCell ref="A31:A34"/>
    <mergeCell ref="I31:I34"/>
    <mergeCell ref="J31:J34"/>
    <mergeCell ref="A36:A37"/>
    <mergeCell ref="I36:I37"/>
    <mergeCell ref="J36:J37"/>
    <mergeCell ref="A38:A42"/>
    <mergeCell ref="I38:I42"/>
    <mergeCell ref="J38:J42"/>
    <mergeCell ref="I53:I62"/>
    <mergeCell ref="J53:J62"/>
    <mergeCell ref="A44:A45"/>
    <mergeCell ref="I44:I45"/>
    <mergeCell ref="J44:J45"/>
    <mergeCell ref="A46:A51"/>
    <mergeCell ref="I46:I51"/>
    <mergeCell ref="J46:J51"/>
    <mergeCell ref="A53:A62"/>
  </mergeCells>
  <pageMargins left="0.70866141732283472" right="0.70866141732283472" top="0.74803149606299213" bottom="0.74803149606299213" header="0.31496062992125984" footer="0.31496062992125984"/>
  <pageSetup paperSize="9" scale="64" orientation="portrait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5"/>
  <sheetViews>
    <sheetView workbookViewId="0">
      <selection activeCell="O17" sqref="O17"/>
    </sheetView>
  </sheetViews>
  <sheetFormatPr baseColWidth="10" defaultRowHeight="15" x14ac:dyDescent="0.25"/>
  <sheetData>
    <row r="1" spans="1:10" s="1" customFormat="1" ht="12.75" x14ac:dyDescent="0.2"/>
    <row r="2" spans="1:10" s="1" customFormat="1" ht="15.75" x14ac:dyDescent="0.25">
      <c r="A2" s="1" t="s">
        <v>0</v>
      </c>
      <c r="B2" s="582" t="str">
        <f>'[8]F 1 _ Echant et Séchage'!D5</f>
        <v>STO-E15-PB-PAR</v>
      </c>
      <c r="C2" s="582"/>
      <c r="D2" s="582"/>
      <c r="E2" s="582"/>
      <c r="F2" s="582"/>
      <c r="G2" s="2"/>
      <c r="H2" s="2"/>
      <c r="I2" s="2"/>
      <c r="J2" s="2"/>
    </row>
    <row r="3" spans="1:10" s="1" customFormat="1" ht="12.75" x14ac:dyDescent="0.2">
      <c r="A3" s="1" t="s">
        <v>1</v>
      </c>
      <c r="B3" s="589" t="str">
        <f>'[8]F 1 _ Echant et Séchage'!D6</f>
        <v>DK 399 CY - 18E ARRDT</v>
      </c>
      <c r="C3" s="589"/>
      <c r="D3" s="589"/>
      <c r="E3" s="589"/>
      <c r="F3" s="589"/>
      <c r="G3" s="3"/>
      <c r="H3" s="3"/>
      <c r="I3" s="3"/>
      <c r="J3" s="3"/>
    </row>
    <row r="4" spans="1:10" s="1" customFormat="1" ht="12.75" x14ac:dyDescent="0.2">
      <c r="A4" s="1" t="s">
        <v>2</v>
      </c>
      <c r="B4" s="249"/>
      <c r="C4" s="249" t="str">
        <f>'[8]F 1 _ Echant et Séchage'!D8</f>
        <v>SAINT OUEN</v>
      </c>
      <c r="D4" s="249"/>
      <c r="E4" s="249"/>
      <c r="F4" s="249"/>
      <c r="G4" s="3"/>
      <c r="H4" s="3"/>
      <c r="I4" s="3"/>
      <c r="J4" s="3"/>
    </row>
    <row r="5" spans="1:10" s="1" customFormat="1" ht="12.75" x14ac:dyDescent="0.2">
      <c r="A5" s="1" t="s">
        <v>3</v>
      </c>
      <c r="B5" s="249"/>
      <c r="C5" s="249" t="str">
        <f>'[8]F 1 _ Echant et Séchage'!E15</f>
        <v>sec, ensoleillé</v>
      </c>
      <c r="D5" s="249"/>
      <c r="E5" s="249"/>
      <c r="F5" s="249"/>
      <c r="G5" s="3"/>
      <c r="H5" s="3"/>
      <c r="I5" s="3"/>
      <c r="J5" s="3"/>
    </row>
    <row r="6" spans="1:10" s="1" customFormat="1" ht="12.75" customHeight="1" x14ac:dyDescent="0.2"/>
    <row r="7" spans="1:10" s="1" customFormat="1" ht="18.75" customHeight="1" x14ac:dyDescent="0.2">
      <c r="A7" s="584" t="s">
        <v>4</v>
      </c>
      <c r="B7" s="584"/>
      <c r="C7" s="584"/>
      <c r="D7" s="584"/>
      <c r="E7" s="584"/>
      <c r="F7" s="584"/>
      <c r="G7" s="584"/>
      <c r="H7" s="584"/>
      <c r="I7" s="584"/>
      <c r="J7" s="584"/>
    </row>
    <row r="8" spans="1:10" s="1" customFormat="1" ht="12.75" x14ac:dyDescent="0.2">
      <c r="I8" s="4"/>
    </row>
    <row r="9" spans="1:10" s="1" customFormat="1" ht="12.75" x14ac:dyDescent="0.2">
      <c r="A9" s="1" t="s">
        <v>5</v>
      </c>
      <c r="B9" s="5">
        <f>'[8]F 1 _ Echant et Séchage'!B12</f>
        <v>42201</v>
      </c>
      <c r="D9" s="583" t="s">
        <v>6</v>
      </c>
      <c r="E9" s="583"/>
      <c r="F9" s="583"/>
      <c r="G9" s="6">
        <f>'[8]F 1 _ Echant et Séchage'!G19</f>
        <v>129.1</v>
      </c>
      <c r="H9" s="6"/>
      <c r="I9" s="7"/>
      <c r="J9" s="1" t="s">
        <v>7</v>
      </c>
    </row>
    <row r="10" spans="1:10" s="1" customFormat="1" ht="12.75" x14ac:dyDescent="0.2">
      <c r="A10" s="1" t="s">
        <v>8</v>
      </c>
      <c r="B10" s="8" t="str">
        <f>'[8]F 1 _ Echant et Séchage'!E12</f>
        <v>19H10</v>
      </c>
      <c r="D10" s="583" t="s">
        <v>9</v>
      </c>
      <c r="E10" s="583"/>
      <c r="F10" s="583"/>
      <c r="G10" s="249">
        <f>'[8]F 1 _ Echant et Séchage'!H26</f>
        <v>450</v>
      </c>
      <c r="H10" s="249"/>
      <c r="I10" s="9"/>
      <c r="J10" s="1" t="s">
        <v>10</v>
      </c>
    </row>
    <row r="11" spans="1:10" s="1" customFormat="1" ht="12.75" x14ac:dyDescent="0.2">
      <c r="B11" s="583"/>
      <c r="C11" s="583"/>
      <c r="D11" s="583" t="s">
        <v>11</v>
      </c>
      <c r="E11" s="583"/>
      <c r="F11" s="583"/>
      <c r="G11" s="10">
        <f>G9/1000/G10</f>
        <v>2.8688888888888888E-4</v>
      </c>
      <c r="H11" s="10"/>
      <c r="I11" s="3"/>
      <c r="J11" s="3" t="s">
        <v>12</v>
      </c>
    </row>
    <row r="12" spans="1:10" s="1" customFormat="1" ht="12.75" x14ac:dyDescent="0.2">
      <c r="B12" s="7"/>
      <c r="D12" s="583" t="s">
        <v>13</v>
      </c>
      <c r="E12" s="583"/>
      <c r="F12" s="583"/>
      <c r="G12" s="236">
        <f>'[8]F 1 _ Echant et Séchage'!D51</f>
        <v>0.40505034856700223</v>
      </c>
      <c r="H12" s="11"/>
      <c r="I12" s="11"/>
    </row>
    <row r="13" spans="1:10" s="1" customFormat="1" ht="12.75" x14ac:dyDescent="0.2">
      <c r="B13" s="12"/>
      <c r="G13" s="234"/>
      <c r="H13" s="234"/>
      <c r="I13" s="234"/>
    </row>
    <row r="14" spans="1:10" s="1" customFormat="1" ht="18.75" customHeight="1" x14ac:dyDescent="0.2">
      <c r="A14" s="584" t="s">
        <v>14</v>
      </c>
      <c r="B14" s="584"/>
      <c r="C14" s="584"/>
      <c r="D14" s="584"/>
      <c r="E14" s="584"/>
      <c r="F14" s="584"/>
      <c r="G14" s="584"/>
      <c r="H14" s="584"/>
      <c r="I14" s="584"/>
      <c r="J14" s="584"/>
    </row>
    <row r="15" spans="1:10" s="1" customFormat="1" ht="15.75" customHeight="1" x14ac:dyDescent="0.2">
      <c r="A15" s="13"/>
      <c r="B15" s="13"/>
      <c r="C15" s="13"/>
      <c r="D15" s="13"/>
      <c r="E15" s="13"/>
      <c r="F15" s="13"/>
      <c r="G15" s="13"/>
      <c r="H15" s="13"/>
      <c r="I15" s="13"/>
      <c r="J15" s="13"/>
    </row>
    <row r="16" spans="1:10" s="1" customFormat="1" ht="27.75" customHeight="1" thickBot="1" x14ac:dyDescent="0.25">
      <c r="C16" s="14" t="s">
        <v>15</v>
      </c>
      <c r="D16" s="15"/>
      <c r="E16" s="15"/>
      <c r="F16" s="15"/>
      <c r="G16" s="585" t="s">
        <v>16</v>
      </c>
      <c r="H16" s="587" t="s">
        <v>17</v>
      </c>
      <c r="I16" s="585" t="s">
        <v>18</v>
      </c>
      <c r="J16" s="587" t="s">
        <v>19</v>
      </c>
    </row>
    <row r="17" spans="1:10" s="1" customFormat="1" ht="29.25" customHeight="1" thickBot="1" x14ac:dyDescent="0.25">
      <c r="A17" s="138" t="s">
        <v>20</v>
      </c>
      <c r="B17" s="139" t="s">
        <v>21</v>
      </c>
      <c r="C17" s="16" t="s">
        <v>22</v>
      </c>
      <c r="D17" s="16" t="s">
        <v>23</v>
      </c>
      <c r="E17" s="16" t="s">
        <v>24</v>
      </c>
      <c r="F17" s="17" t="s">
        <v>25</v>
      </c>
      <c r="G17" s="586"/>
      <c r="H17" s="588"/>
      <c r="I17" s="586"/>
      <c r="J17" s="588"/>
    </row>
    <row r="18" spans="1:10" s="1" customFormat="1" ht="15" customHeight="1" x14ac:dyDescent="0.2">
      <c r="A18" s="579" t="s">
        <v>26</v>
      </c>
      <c r="B18" s="18" t="s">
        <v>119</v>
      </c>
      <c r="C18" s="19">
        <f>'[8]F 4 TRI _ Granulo'!K5</f>
        <v>0.30433333333333362</v>
      </c>
      <c r="D18" s="20">
        <f>'[8]F 4 TRI _ Granulo'!H5</f>
        <v>0</v>
      </c>
      <c r="E18" s="20">
        <f>'[8]F 4 TRI _ Granulo'!E5</f>
        <v>0</v>
      </c>
      <c r="F18" s="20">
        <f>SUM(C18:E18)</f>
        <v>0.30433333333333362</v>
      </c>
      <c r="G18" s="21">
        <f t="shared" ref="G18:G64" si="0">F18/$F$64</f>
        <v>5.8967709850449397E-3</v>
      </c>
      <c r="H18" s="21">
        <f>G18*J18/I18</f>
        <v>1.4389819354234116E-2</v>
      </c>
      <c r="I18" s="578">
        <f>G18+G19+G20+G21+G22</f>
        <v>3.7931802842463218E-2</v>
      </c>
      <c r="J18" s="578">
        <f>'[8]Calcul sous cat &gt;20'!N8/100</f>
        <v>9.2564522527291263E-2</v>
      </c>
    </row>
    <row r="19" spans="1:10" s="1" customFormat="1" ht="15" customHeight="1" x14ac:dyDescent="0.2">
      <c r="A19" s="580"/>
      <c r="B19" s="18" t="s">
        <v>27</v>
      </c>
      <c r="C19" s="19">
        <f>'[8]F 4 TRI _ Granulo'!K6</f>
        <v>1.3556666666666675</v>
      </c>
      <c r="D19" s="20">
        <f>'[8]F 4 TRI _ Granulo'!H6</f>
        <v>0.27</v>
      </c>
      <c r="E19" s="20">
        <f>'[8]F 4 TRI _ Granulo'!E6</f>
        <v>0</v>
      </c>
      <c r="F19" s="20">
        <f>SUM(C19:E19)</f>
        <v>1.6256666666666675</v>
      </c>
      <c r="G19" s="21">
        <f t="shared" si="0"/>
        <v>3.149896176786874E-2</v>
      </c>
      <c r="H19" s="21">
        <f>G19*J18/I18</f>
        <v>7.6866537777217692E-2</v>
      </c>
      <c r="I19" s="578"/>
      <c r="J19" s="578"/>
    </row>
    <row r="20" spans="1:10" s="1" customFormat="1" ht="15" customHeight="1" x14ac:dyDescent="0.2">
      <c r="A20" s="580"/>
      <c r="B20" s="18" t="s">
        <v>28</v>
      </c>
      <c r="C20" s="19">
        <f>'[8]F 4 TRI _ Granulo'!K7</f>
        <v>0</v>
      </c>
      <c r="D20" s="20">
        <f>'[8]F 4 TRI _ Granulo'!H7</f>
        <v>0</v>
      </c>
      <c r="E20" s="20">
        <f>'[8]F 4 TRI _ Granulo'!E7</f>
        <v>0</v>
      </c>
      <c r="F20" s="20">
        <f t="shared" ref="F20:F62" si="1">SUM(C20:E20)</f>
        <v>0</v>
      </c>
      <c r="G20" s="21">
        <f t="shared" si="0"/>
        <v>0</v>
      </c>
      <c r="H20" s="21">
        <f>G20*J18/I18</f>
        <v>0</v>
      </c>
      <c r="I20" s="578"/>
      <c r="J20" s="578"/>
    </row>
    <row r="21" spans="1:10" s="1" customFormat="1" ht="15" customHeight="1" x14ac:dyDescent="0.2">
      <c r="A21" s="580"/>
      <c r="B21" s="18" t="s">
        <v>29</v>
      </c>
      <c r="C21" s="19">
        <f>'[8]F 4 TRI _ Granulo'!K8</f>
        <v>2.766666666666669E-2</v>
      </c>
      <c r="D21" s="20">
        <f>'[8]F 4 TRI _ Granulo'!H8</f>
        <v>0</v>
      </c>
      <c r="E21" s="20">
        <f>'[8]F 4 TRI _ Granulo'!E8</f>
        <v>0</v>
      </c>
      <c r="F21" s="20">
        <f t="shared" si="1"/>
        <v>2.766666666666669E-2</v>
      </c>
      <c r="G21" s="21">
        <f t="shared" si="0"/>
        <v>5.3607008954953991E-4</v>
      </c>
      <c r="H21" s="21">
        <f>G21*J18/I18</f>
        <v>1.3081653958394647E-3</v>
      </c>
      <c r="I21" s="578"/>
      <c r="J21" s="578"/>
    </row>
    <row r="22" spans="1:10" s="1" customFormat="1" ht="15" customHeight="1" x14ac:dyDescent="0.2">
      <c r="A22" s="581"/>
      <c r="B22" s="18" t="s">
        <v>30</v>
      </c>
      <c r="C22" s="19">
        <f>'[8]F 4 TRI _ Granulo'!K9</f>
        <v>0</v>
      </c>
      <c r="D22" s="20">
        <f>'[8]F 4 TRI _ Granulo'!H9</f>
        <v>0</v>
      </c>
      <c r="E22" s="20">
        <f>'[8]F 4 TRI _ Granulo'!E9</f>
        <v>0</v>
      </c>
      <c r="F22" s="20">
        <f t="shared" si="1"/>
        <v>0</v>
      </c>
      <c r="G22" s="21">
        <f t="shared" si="0"/>
        <v>0</v>
      </c>
      <c r="H22" s="21">
        <f>G22*J18/I18</f>
        <v>0</v>
      </c>
      <c r="I22" s="578"/>
      <c r="J22" s="578"/>
    </row>
    <row r="23" spans="1:10" s="1" customFormat="1" ht="15" customHeight="1" x14ac:dyDescent="0.2">
      <c r="A23" s="567" t="s">
        <v>31</v>
      </c>
      <c r="B23" s="18" t="s">
        <v>32</v>
      </c>
      <c r="C23" s="19">
        <f>'[8]F 4 TRI _ Granulo'!K10</f>
        <v>0</v>
      </c>
      <c r="D23" s="20">
        <f>'[8]F 4 TRI _ Granulo'!H10</f>
        <v>0.43000000000000016</v>
      </c>
      <c r="E23" s="20">
        <f>'[8]F 4 TRI _ Granulo'!E10</f>
        <v>0</v>
      </c>
      <c r="F23" s="20">
        <f t="shared" si="1"/>
        <v>0.43000000000000016</v>
      </c>
      <c r="G23" s="21">
        <f t="shared" si="0"/>
        <v>8.3316917532398338E-3</v>
      </c>
      <c r="H23" s="21">
        <f>'[8]Calcul sous cat &gt;20'!N32/100</f>
        <v>8.3913479303851079E-3</v>
      </c>
      <c r="I23" s="571">
        <f>G23+G24+G25+G26+G27</f>
        <v>9.0363332805874802E-2</v>
      </c>
      <c r="J23" s="571">
        <f>'[8]Calcul sous cat &gt;20'!N9/100</f>
        <v>9.0012651270101218E-2</v>
      </c>
    </row>
    <row r="24" spans="1:10" s="1" customFormat="1" ht="15" customHeight="1" x14ac:dyDescent="0.2">
      <c r="A24" s="568"/>
      <c r="B24" s="18" t="s">
        <v>33</v>
      </c>
      <c r="C24" s="19">
        <f>'[8]F 4 TRI _ Granulo'!K11</f>
        <v>0.52566666666666717</v>
      </c>
      <c r="D24" s="20">
        <f>'[8]F 4 TRI _ Granulo'!H11</f>
        <v>0.17000000000000015</v>
      </c>
      <c r="E24" s="20">
        <f>'[8]F 4 TRI _ Granulo'!E11</f>
        <v>0</v>
      </c>
      <c r="F24" s="20">
        <f t="shared" si="1"/>
        <v>0.69566666666666732</v>
      </c>
      <c r="G24" s="21">
        <f t="shared" si="0"/>
        <v>1.3479256348070963E-2</v>
      </c>
      <c r="H24" s="21">
        <f>'[8]Calcul sous cat &gt;20'!N33/100</f>
        <v>1.312329587104507E-2</v>
      </c>
      <c r="I24" s="571"/>
      <c r="J24" s="571"/>
    </row>
    <row r="25" spans="1:10" s="1" customFormat="1" ht="15" customHeight="1" x14ac:dyDescent="0.2">
      <c r="A25" s="568"/>
      <c r="B25" s="18" t="s">
        <v>34</v>
      </c>
      <c r="C25" s="19">
        <f>'[8]F 4 TRI _ Granulo'!K12</f>
        <v>0</v>
      </c>
      <c r="D25" s="20">
        <f>'[8]F 4 TRI _ Granulo'!H12</f>
        <v>0</v>
      </c>
      <c r="E25" s="20">
        <f>'[8]F 4 TRI _ Granulo'!E12</f>
        <v>0</v>
      </c>
      <c r="F25" s="20">
        <f t="shared" si="1"/>
        <v>0</v>
      </c>
      <c r="G25" s="21">
        <f t="shared" si="0"/>
        <v>0</v>
      </c>
      <c r="H25" s="21">
        <f>'[8]Calcul sous cat &gt;20'!N34/100</f>
        <v>0</v>
      </c>
      <c r="I25" s="571"/>
      <c r="J25" s="571"/>
    </row>
    <row r="26" spans="1:10" s="1" customFormat="1" ht="15" customHeight="1" x14ac:dyDescent="0.2">
      <c r="A26" s="568"/>
      <c r="B26" s="18" t="s">
        <v>35</v>
      </c>
      <c r="C26" s="19">
        <f>'[8]F 4 TRI _ Granulo'!K13</f>
        <v>0.35966666666666702</v>
      </c>
      <c r="D26" s="20">
        <f>'[8]F 4 TRI _ Granulo'!H13</f>
        <v>0.4700000000000002</v>
      </c>
      <c r="E26" s="20">
        <f>'[8]F 4 TRI _ Granulo'!E13</f>
        <v>0</v>
      </c>
      <c r="F26" s="20">
        <f t="shared" si="1"/>
        <v>0.82966666666666722</v>
      </c>
      <c r="G26" s="21">
        <f t="shared" si="0"/>
        <v>1.607564401070849E-2</v>
      </c>
      <c r="H26" s="21">
        <f>'[8]Calcul sous cat &gt;20'!N35/100</f>
        <v>1.5806128386570681E-2</v>
      </c>
      <c r="I26" s="571"/>
      <c r="J26" s="571"/>
    </row>
    <row r="27" spans="1:10" s="1" customFormat="1" ht="15" customHeight="1" x14ac:dyDescent="0.2">
      <c r="A27" s="570"/>
      <c r="B27" s="18" t="s">
        <v>36</v>
      </c>
      <c r="C27" s="19">
        <f>'[8]F 4 TRI _ Granulo'!K14</f>
        <v>0.13833333333333347</v>
      </c>
      <c r="D27" s="20">
        <f>'[8]F 4 TRI _ Granulo'!H14</f>
        <v>0.60999999999999988</v>
      </c>
      <c r="E27" s="20">
        <f>'[8]F 4 TRI _ Granulo'!E14</f>
        <v>1.96</v>
      </c>
      <c r="F27" s="20">
        <f t="shared" si="1"/>
        <v>2.708333333333333</v>
      </c>
      <c r="G27" s="21">
        <f t="shared" si="0"/>
        <v>5.2476740693855516E-2</v>
      </c>
      <c r="H27" s="21">
        <f>'[8]Calcul sous cat &gt;20'!N36/100</f>
        <v>5.2691879082100358E-2</v>
      </c>
      <c r="I27" s="571"/>
      <c r="J27" s="571"/>
    </row>
    <row r="28" spans="1:10" s="1" customFormat="1" ht="15" customHeight="1" x14ac:dyDescent="0.2">
      <c r="A28" s="567" t="s">
        <v>37</v>
      </c>
      <c r="B28" s="18" t="s">
        <v>38</v>
      </c>
      <c r="C28" s="19">
        <f>'[8]F 4 TRI _ Granulo'!K15</f>
        <v>0.19366666666666682</v>
      </c>
      <c r="D28" s="20">
        <f>'[8]F 4 TRI _ Granulo'!H15</f>
        <v>1.1299999999999999</v>
      </c>
      <c r="E28" s="20">
        <f>'[8]F 4 TRI _ Granulo'!E15</f>
        <v>0</v>
      </c>
      <c r="F28" s="20">
        <f t="shared" si="1"/>
        <v>1.3236666666666668</v>
      </c>
      <c r="G28" s="21">
        <f t="shared" si="0"/>
        <v>2.5647401513267727E-2</v>
      </c>
      <c r="H28" s="21">
        <f>'[8]Calcul sous cat &gt;20'!N37/100</f>
        <v>2.5518457914382633E-2</v>
      </c>
      <c r="I28" s="571">
        <f>G28+G29+G30</f>
        <v>8.1385773474864448E-2</v>
      </c>
      <c r="J28" s="571">
        <f>'[8]Calcul sous cat &gt;20'!N10/100</f>
        <v>8.1084570134523762E-2</v>
      </c>
    </row>
    <row r="29" spans="1:10" s="1" customFormat="1" ht="15" customHeight="1" x14ac:dyDescent="0.2">
      <c r="A29" s="568"/>
      <c r="B29" s="18" t="s">
        <v>39</v>
      </c>
      <c r="C29" s="19">
        <f>'[8]F 4 TRI _ Granulo'!K16</f>
        <v>0.19366666666666682</v>
      </c>
      <c r="D29" s="20">
        <f>'[8]F 4 TRI _ Granulo'!H16</f>
        <v>0.95000000000000018</v>
      </c>
      <c r="E29" s="20">
        <f>'[8]F 4 TRI _ Granulo'!E16</f>
        <v>1.58</v>
      </c>
      <c r="F29" s="20">
        <f t="shared" si="1"/>
        <v>2.7236666666666673</v>
      </c>
      <c r="G29" s="21">
        <f t="shared" si="0"/>
        <v>5.2773839779629975E-2</v>
      </c>
      <c r="H29" s="21">
        <f>'[8]Calcul sous cat &gt;20'!N38/100</f>
        <v>5.25538060195423E-2</v>
      </c>
      <c r="I29" s="571"/>
      <c r="J29" s="571"/>
    </row>
    <row r="30" spans="1:10" s="1" customFormat="1" ht="15" customHeight="1" x14ac:dyDescent="0.2">
      <c r="A30" s="570"/>
      <c r="B30" s="18" t="s">
        <v>40</v>
      </c>
      <c r="C30" s="19">
        <f>'[8]F 4 TRI _ Granulo'!K17</f>
        <v>8.3000000000000074E-2</v>
      </c>
      <c r="D30" s="20">
        <f>'[8]F 4 TRI _ Granulo'!H17</f>
        <v>7.0000000000000062E-2</v>
      </c>
      <c r="E30" s="20">
        <f>'[8]F 4 TRI _ Granulo'!E17</f>
        <v>0</v>
      </c>
      <c r="F30" s="20">
        <f t="shared" si="1"/>
        <v>0.15300000000000014</v>
      </c>
      <c r="G30" s="21">
        <f t="shared" si="0"/>
        <v>2.9645321819667331E-3</v>
      </c>
      <c r="H30" s="21">
        <f>'[8]Calcul sous cat &gt;20'!N39/100</f>
        <v>3.0123062005988368E-3</v>
      </c>
      <c r="I30" s="571"/>
      <c r="J30" s="571"/>
    </row>
    <row r="31" spans="1:10" s="1" customFormat="1" ht="15" customHeight="1" x14ac:dyDescent="0.2">
      <c r="A31" s="572" t="s">
        <v>41</v>
      </c>
      <c r="B31" s="18" t="s">
        <v>42</v>
      </c>
      <c r="C31" s="19">
        <f>'[8]F 4 TRI _ Granulo'!K18</f>
        <v>0</v>
      </c>
      <c r="D31" s="20">
        <f>'[8]F 4 TRI _ Granulo'!H18</f>
        <v>0.17000000000000015</v>
      </c>
      <c r="E31" s="20">
        <f>'[8]F 4 TRI _ Granulo'!E18</f>
        <v>0</v>
      </c>
      <c r="F31" s="20">
        <f t="shared" si="1"/>
        <v>0.17000000000000015</v>
      </c>
      <c r="G31" s="21">
        <f t="shared" si="0"/>
        <v>3.2939246466297031E-3</v>
      </c>
      <c r="H31" s="243">
        <f>G31*J31/I31</f>
        <v>4.129051211254892E-3</v>
      </c>
      <c r="I31" s="575">
        <f>G31+G32+G33+G34</f>
        <v>4.9021349152783226E-3</v>
      </c>
      <c r="J31" s="575">
        <f>'[8]Calcul sous cat &gt;20'!N11/100</f>
        <v>6.1449997438087498E-3</v>
      </c>
    </row>
    <row r="32" spans="1:10" s="1" customFormat="1" ht="15" customHeight="1" x14ac:dyDescent="0.2">
      <c r="A32" s="573"/>
      <c r="B32" s="18" t="s">
        <v>43</v>
      </c>
      <c r="C32" s="19">
        <f>'[8]F 4 TRI _ Granulo'!K19</f>
        <v>8.3000000000000074E-2</v>
      </c>
      <c r="D32" s="20">
        <f>'[8]F 4 TRI _ Granulo'!H19</f>
        <v>0</v>
      </c>
      <c r="E32" s="20">
        <f>'[8]F 4 TRI _ Granulo'!E19</f>
        <v>0</v>
      </c>
      <c r="F32" s="20">
        <f t="shared" si="1"/>
        <v>8.3000000000000074E-2</v>
      </c>
      <c r="G32" s="21">
        <f t="shared" si="0"/>
        <v>1.6082102686486197E-3</v>
      </c>
      <c r="H32" s="243">
        <f>G32*J31/I31</f>
        <v>2.0159485325538587E-3</v>
      </c>
      <c r="I32" s="576"/>
      <c r="J32" s="576"/>
    </row>
    <row r="33" spans="1:10" s="1" customFormat="1" ht="15" customHeight="1" x14ac:dyDescent="0.2">
      <c r="A33" s="573"/>
      <c r="B33" s="18" t="s">
        <v>44</v>
      </c>
      <c r="C33" s="19">
        <f>'[8]F 4 TRI _ Granulo'!K20</f>
        <v>0</v>
      </c>
      <c r="D33" s="20">
        <f>'[8]F 4 TRI _ Granulo'!H20</f>
        <v>0</v>
      </c>
      <c r="E33" s="20">
        <f>'[8]F 4 TRI _ Granulo'!E20</f>
        <v>0</v>
      </c>
      <c r="F33" s="20">
        <f t="shared" si="1"/>
        <v>0</v>
      </c>
      <c r="G33" s="21">
        <f t="shared" si="0"/>
        <v>0</v>
      </c>
      <c r="H33" s="243">
        <f>G33*J31/I31</f>
        <v>0</v>
      </c>
      <c r="I33" s="576"/>
      <c r="J33" s="576"/>
    </row>
    <row r="34" spans="1:10" s="1" customFormat="1" ht="15" customHeight="1" x14ac:dyDescent="0.2">
      <c r="A34" s="574"/>
      <c r="B34" s="18" t="s">
        <v>120</v>
      </c>
      <c r="C34" s="19">
        <f>'[8]F 4 TRI _ Granulo'!K21</f>
        <v>0</v>
      </c>
      <c r="D34" s="20">
        <f>'[8]F 4 TRI _ Granulo'!H21</f>
        <v>0</v>
      </c>
      <c r="E34" s="20">
        <f>'[8]F 4 TRI _ Granulo'!E21</f>
        <v>0</v>
      </c>
      <c r="F34" s="20">
        <f t="shared" si="1"/>
        <v>0</v>
      </c>
      <c r="G34" s="21">
        <f t="shared" si="0"/>
        <v>0</v>
      </c>
      <c r="H34" s="243">
        <f>G34*J31/I31</f>
        <v>0</v>
      </c>
      <c r="I34" s="577"/>
      <c r="J34" s="577"/>
    </row>
    <row r="35" spans="1:10" s="1" customFormat="1" ht="15" customHeight="1" x14ac:dyDescent="0.2">
      <c r="A35" s="245" t="s">
        <v>45</v>
      </c>
      <c r="B35" s="18" t="s">
        <v>46</v>
      </c>
      <c r="C35" s="19">
        <f>'[8]F 4 TRI _ Granulo'!K22</f>
        <v>2.766666666666669E-2</v>
      </c>
      <c r="D35" s="20">
        <f>'[8]F 4 TRI _ Granulo'!H22</f>
        <v>1.75</v>
      </c>
      <c r="E35" s="20">
        <f>'[8]F 4 TRI _ Granulo'!E22</f>
        <v>0.84</v>
      </c>
      <c r="F35" s="20">
        <f t="shared" si="1"/>
        <v>2.6176666666666666</v>
      </c>
      <c r="G35" s="21">
        <f t="shared" si="0"/>
        <v>5.071998088231968E-2</v>
      </c>
      <c r="H35" s="21">
        <f>'[8]Calcul sous cat &gt;20'!N43/100</f>
        <v>5.0470233977514573E-2</v>
      </c>
      <c r="I35" s="246">
        <f>G35</f>
        <v>5.071998088231968E-2</v>
      </c>
      <c r="J35" s="246">
        <f>'[8]Calcul sous cat &gt;20'!N12/100</f>
        <v>5.0470233977514573E-2</v>
      </c>
    </row>
    <row r="36" spans="1:10" s="1" customFormat="1" ht="15" customHeight="1" x14ac:dyDescent="0.2">
      <c r="A36" s="567" t="s">
        <v>47</v>
      </c>
      <c r="B36" s="18" t="s">
        <v>48</v>
      </c>
      <c r="C36" s="19">
        <f>'[8]F 4 TRI _ Granulo'!K23</f>
        <v>0.47033333333333371</v>
      </c>
      <c r="D36" s="20">
        <f>'[8]F 4 TRI _ Granulo'!H23</f>
        <v>2.33</v>
      </c>
      <c r="E36" s="20">
        <f>'[8]F 4 TRI _ Granulo'!E23</f>
        <v>0</v>
      </c>
      <c r="F36" s="20">
        <f t="shared" si="1"/>
        <v>2.8003333333333336</v>
      </c>
      <c r="G36" s="21">
        <f t="shared" si="0"/>
        <v>5.4259335208502187E-2</v>
      </c>
      <c r="H36" s="21">
        <f>'[8]Calcul sous cat &gt;20'!N44/100</f>
        <v>5.594188803310262E-2</v>
      </c>
      <c r="I36" s="571">
        <f>G36+G37</f>
        <v>7.8459993347563942E-2</v>
      </c>
      <c r="J36" s="571">
        <f>'[8]Calcul sous cat &gt;20'!N13/100</f>
        <v>8.0541849147599265E-2</v>
      </c>
    </row>
    <row r="37" spans="1:10" s="1" customFormat="1" ht="15" customHeight="1" x14ac:dyDescent="0.2">
      <c r="A37" s="570"/>
      <c r="B37" s="18" t="s">
        <v>49</v>
      </c>
      <c r="C37" s="19">
        <f>'[8]F 4 TRI _ Granulo'!K24</f>
        <v>1.0790000000000004</v>
      </c>
      <c r="D37" s="20">
        <f>'[8]F 4 TRI _ Granulo'!H24</f>
        <v>0.17000000000000015</v>
      </c>
      <c r="E37" s="20">
        <f>'[8]F 4 TRI _ Granulo'!E24</f>
        <v>0</v>
      </c>
      <c r="F37" s="20">
        <f t="shared" si="1"/>
        <v>1.2490000000000006</v>
      </c>
      <c r="G37" s="21">
        <f t="shared" si="0"/>
        <v>2.4200658139061752E-2</v>
      </c>
      <c r="H37" s="21">
        <f>'[8]Calcul sous cat &gt;20'!N45/100</f>
        <v>2.4599961114496634E-2</v>
      </c>
      <c r="I37" s="571"/>
      <c r="J37" s="571"/>
    </row>
    <row r="38" spans="1:10" s="1" customFormat="1" ht="15" customHeight="1" x14ac:dyDescent="0.2">
      <c r="A38" s="567" t="s">
        <v>50</v>
      </c>
      <c r="B38" s="18" t="s">
        <v>51</v>
      </c>
      <c r="C38" s="19">
        <f>'[8]F 4 TRI _ Granulo'!K25</f>
        <v>0.24900000000000022</v>
      </c>
      <c r="D38" s="20">
        <f>'[8]F 4 TRI _ Granulo'!H25</f>
        <v>3.7299999999999991</v>
      </c>
      <c r="E38" s="20">
        <f>'[8]F 4 TRI _ Granulo'!E25</f>
        <v>0</v>
      </c>
      <c r="F38" s="20">
        <f t="shared" si="1"/>
        <v>3.9789999999999992</v>
      </c>
      <c r="G38" s="21">
        <f t="shared" si="0"/>
        <v>7.7097212758468092E-2</v>
      </c>
      <c r="H38" s="21">
        <f>'[8]Calcul sous cat &gt;20'!N46/100</f>
        <v>8.9429706773558021E-2</v>
      </c>
      <c r="I38" s="571">
        <f>G38+G39+G40+G41+G42</f>
        <v>0.21471867622981256</v>
      </c>
      <c r="J38" s="571">
        <f>'[8]Calcul sous cat &gt;20'!N14/100</f>
        <v>0.24109362039895849</v>
      </c>
    </row>
    <row r="39" spans="1:10" s="1" customFormat="1" ht="15" customHeight="1" x14ac:dyDescent="0.2">
      <c r="A39" s="568"/>
      <c r="B39" s="18" t="s">
        <v>52</v>
      </c>
      <c r="C39" s="19">
        <f>'[8]F 4 TRI _ Granulo'!K26</f>
        <v>0.80233333333333345</v>
      </c>
      <c r="D39" s="20">
        <f>'[8]F 4 TRI _ Granulo'!H26</f>
        <v>1.2000000000000002</v>
      </c>
      <c r="E39" s="20">
        <f>'[8]F 4 TRI _ Granulo'!E26</f>
        <v>0</v>
      </c>
      <c r="F39" s="20">
        <f t="shared" si="1"/>
        <v>2.0023333333333335</v>
      </c>
      <c r="G39" s="21">
        <f t="shared" si="0"/>
        <v>3.8797265396675711E-2</v>
      </c>
      <c r="H39" s="21">
        <f>'[8]Calcul sous cat &gt;20'!N47/100</f>
        <v>4.0222470438163176E-2</v>
      </c>
      <c r="I39" s="571"/>
      <c r="J39" s="571"/>
    </row>
    <row r="40" spans="1:10" s="1" customFormat="1" ht="15" customHeight="1" x14ac:dyDescent="0.2">
      <c r="A40" s="568"/>
      <c r="B40" s="18" t="s">
        <v>53</v>
      </c>
      <c r="C40" s="19">
        <f>'[8]F 4 TRI _ Granulo'!K27</f>
        <v>0.747</v>
      </c>
      <c r="D40" s="20">
        <f>'[8]F 4 TRI _ Granulo'!H27</f>
        <v>0.57000000000000028</v>
      </c>
      <c r="E40" s="20">
        <f>'[8]F 4 TRI _ Granulo'!E27</f>
        <v>0</v>
      </c>
      <c r="F40" s="20">
        <f t="shared" si="1"/>
        <v>1.3170000000000002</v>
      </c>
      <c r="G40" s="21">
        <f t="shared" si="0"/>
        <v>2.5518227997713621E-2</v>
      </c>
      <c r="H40" s="21">
        <f>'[8]Calcul sous cat &gt;20'!N48/100</f>
        <v>2.6451064448899695E-2</v>
      </c>
      <c r="I40" s="571"/>
      <c r="J40" s="571"/>
    </row>
    <row r="41" spans="1:10" s="1" customFormat="1" ht="15" customHeight="1" x14ac:dyDescent="0.2">
      <c r="A41" s="568"/>
      <c r="B41" s="18" t="s">
        <v>54</v>
      </c>
      <c r="C41" s="19">
        <f>'[8]F 4 TRI _ Granulo'!K28</f>
        <v>0.9683333333333336</v>
      </c>
      <c r="D41" s="20">
        <f>'[8]F 4 TRI _ Granulo'!H28</f>
        <v>0.89000000000000012</v>
      </c>
      <c r="E41" s="20">
        <f>'[8]F 4 TRI _ Granulo'!E28</f>
        <v>0</v>
      </c>
      <c r="F41" s="20">
        <f t="shared" si="1"/>
        <v>1.8583333333333338</v>
      </c>
      <c r="G41" s="21">
        <f t="shared" si="0"/>
        <v>3.6007117460707026E-2</v>
      </c>
      <c r="H41" s="21">
        <f>'[8]Calcul sous cat &gt;20'!N49/100</f>
        <v>4.1744018474523165E-2</v>
      </c>
      <c r="I41" s="571"/>
      <c r="J41" s="571"/>
    </row>
    <row r="42" spans="1:10" s="1" customFormat="1" ht="27" customHeight="1" x14ac:dyDescent="0.2">
      <c r="A42" s="570"/>
      <c r="B42" s="18" t="s">
        <v>55</v>
      </c>
      <c r="C42" s="19">
        <f>'[8]F 4 TRI _ Granulo'!K29</f>
        <v>0.41500000000000042</v>
      </c>
      <c r="D42" s="20">
        <f>'[8]F 4 TRI _ Granulo'!H29</f>
        <v>1.27</v>
      </c>
      <c r="E42" s="20">
        <f>'[8]F 4 TRI _ Granulo'!E29</f>
        <v>0.24</v>
      </c>
      <c r="F42" s="20">
        <f t="shared" si="1"/>
        <v>1.9250000000000005</v>
      </c>
      <c r="G42" s="21">
        <f t="shared" si="0"/>
        <v>3.7298852616248088E-2</v>
      </c>
      <c r="H42" s="21">
        <f>'[8]Calcul sous cat &gt;20'!N50/100</f>
        <v>4.3246360263814398E-2</v>
      </c>
      <c r="I42" s="571"/>
      <c r="J42" s="571"/>
    </row>
    <row r="43" spans="1:10" s="1" customFormat="1" ht="26.25" customHeight="1" x14ac:dyDescent="0.2">
      <c r="A43" s="245" t="s">
        <v>56</v>
      </c>
      <c r="B43" s="18" t="s">
        <v>56</v>
      </c>
      <c r="C43" s="19">
        <f>'[8]F 4 TRI _ Granulo'!K30</f>
        <v>0</v>
      </c>
      <c r="D43" s="20">
        <f>'[8]F 4 TRI _ Granulo'!H30</f>
        <v>0.21000000000000019</v>
      </c>
      <c r="E43" s="20">
        <f>'[8]F 4 TRI _ Granulo'!E30</f>
        <v>0.54</v>
      </c>
      <c r="F43" s="20">
        <f t="shared" si="1"/>
        <v>0.75000000000000022</v>
      </c>
      <c r="G43" s="21">
        <f t="shared" si="0"/>
        <v>1.4532020499836918E-2</v>
      </c>
      <c r="H43" s="21">
        <f>J43</f>
        <v>1.4768258135210576E-2</v>
      </c>
      <c r="I43" s="246">
        <f>G43</f>
        <v>1.4532020499836918E-2</v>
      </c>
      <c r="J43" s="246">
        <f>'[8]Calcul sous cat &gt;20'!N15/100</f>
        <v>1.4768258135210576E-2</v>
      </c>
    </row>
    <row r="44" spans="1:10" s="1" customFormat="1" ht="15" customHeight="1" x14ac:dyDescent="0.2">
      <c r="A44" s="567" t="s">
        <v>57</v>
      </c>
      <c r="B44" s="18" t="s">
        <v>58</v>
      </c>
      <c r="C44" s="19">
        <f>'[8]F 4 TRI _ Granulo'!K31</f>
        <v>3.7350000000000003</v>
      </c>
      <c r="D44" s="20">
        <f>'[8]F 4 TRI _ Granulo'!H31</f>
        <v>2.6300000000000003</v>
      </c>
      <c r="E44" s="20">
        <f>'[8]F 4 TRI _ Granulo'!E31</f>
        <v>0</v>
      </c>
      <c r="F44" s="20">
        <f t="shared" si="1"/>
        <v>6.3650000000000002</v>
      </c>
      <c r="G44" s="21">
        <f t="shared" si="0"/>
        <v>0.1233284139752826</v>
      </c>
      <c r="H44" s="21">
        <f>G44*J44/I44</f>
        <v>0.12251542775625024</v>
      </c>
      <c r="I44" s="571">
        <f>G44+G45</f>
        <v>0.15363897940005355</v>
      </c>
      <c r="J44" s="571">
        <f>'[8]Calcul sous cat &gt;20'!N16/100</f>
        <v>0.15262618462768687</v>
      </c>
    </row>
    <row r="45" spans="1:10" s="1" customFormat="1" ht="15" customHeight="1" x14ac:dyDescent="0.2">
      <c r="A45" s="570"/>
      <c r="B45" s="18" t="s">
        <v>59</v>
      </c>
      <c r="C45" s="19">
        <f>'[8]F 4 TRI _ Granulo'!K32</f>
        <v>1.1343333333333336</v>
      </c>
      <c r="D45" s="20">
        <f>'[8]F 4 TRI _ Granulo'!H32</f>
        <v>0.43000000000000016</v>
      </c>
      <c r="E45" s="20">
        <f>'[8]F 4 TRI _ Granulo'!E32</f>
        <v>0</v>
      </c>
      <c r="F45" s="20">
        <f t="shared" si="1"/>
        <v>1.5643333333333338</v>
      </c>
      <c r="G45" s="21">
        <f t="shared" si="0"/>
        <v>3.0310565424770956E-2</v>
      </c>
      <c r="H45" s="21">
        <f>G45*J44/I44</f>
        <v>3.0110756871436637E-2</v>
      </c>
      <c r="I45" s="571"/>
      <c r="J45" s="571"/>
    </row>
    <row r="46" spans="1:10" s="1" customFormat="1" ht="15" customHeight="1" x14ac:dyDescent="0.2">
      <c r="A46" s="567" t="s">
        <v>60</v>
      </c>
      <c r="B46" s="18" t="s">
        <v>61</v>
      </c>
      <c r="C46" s="19">
        <f>'[8]F 4 TRI _ Granulo'!K33</f>
        <v>0.52566666666666717</v>
      </c>
      <c r="D46" s="20">
        <f>'[8]F 4 TRI _ Granulo'!H33</f>
        <v>1.0000000000000009E-2</v>
      </c>
      <c r="E46" s="20">
        <f>'[8]F 4 TRI _ Granulo'!E33</f>
        <v>0</v>
      </c>
      <c r="F46" s="20">
        <f t="shared" si="1"/>
        <v>0.53566666666666718</v>
      </c>
      <c r="G46" s="21">
        <f t="shared" si="0"/>
        <v>1.0379091974772419E-2</v>
      </c>
      <c r="H46" s="21">
        <f t="shared" ref="H46:H51" si="2">G46*$J$46/$I$46</f>
        <v>1.0649089711882253E-2</v>
      </c>
      <c r="I46" s="571">
        <f>G46+G47+G50+G51+G48+G49</f>
        <v>3.7973784235018307E-2</v>
      </c>
      <c r="J46" s="571">
        <f>'[8]Calcul sous cat &gt;20'!N17/100</f>
        <v>3.8961619764164089E-2</v>
      </c>
    </row>
    <row r="47" spans="1:10" s="1" customFormat="1" ht="15" customHeight="1" x14ac:dyDescent="0.2">
      <c r="A47" s="568"/>
      <c r="B47" s="18" t="s">
        <v>62</v>
      </c>
      <c r="C47" s="19">
        <f>'[8]F 4 TRI _ Granulo'!K34</f>
        <v>0.47033333333333371</v>
      </c>
      <c r="D47" s="20">
        <f>'[8]F 4 TRI _ Granulo'!H34</f>
        <v>1.0000000000000009E-2</v>
      </c>
      <c r="E47" s="20">
        <f>'[8]F 4 TRI _ Granulo'!E34</f>
        <v>0</v>
      </c>
      <c r="F47" s="20">
        <f t="shared" si="1"/>
        <v>0.48033333333333372</v>
      </c>
      <c r="G47" s="21">
        <f t="shared" si="0"/>
        <v>9.3069517956733371E-3</v>
      </c>
      <c r="H47" s="21">
        <f t="shared" si="2"/>
        <v>9.5490592873816588E-3</v>
      </c>
      <c r="I47" s="571"/>
      <c r="J47" s="571"/>
    </row>
    <row r="48" spans="1:10" s="1" customFormat="1" ht="15" customHeight="1" x14ac:dyDescent="0.2">
      <c r="A48" s="568"/>
      <c r="B48" s="18" t="s">
        <v>63</v>
      </c>
      <c r="C48" s="19">
        <f>'[8]F 4 TRI _ Granulo'!K35</f>
        <v>0</v>
      </c>
      <c r="D48" s="20">
        <f>'[8]F 4 TRI _ Granulo'!H35</f>
        <v>0</v>
      </c>
      <c r="E48" s="20">
        <f>'[8]F 4 TRI _ Granulo'!E35</f>
        <v>0</v>
      </c>
      <c r="F48" s="20">
        <f t="shared" si="1"/>
        <v>0</v>
      </c>
      <c r="G48" s="21">
        <f t="shared" si="0"/>
        <v>0</v>
      </c>
      <c r="H48" s="21">
        <f t="shared" si="2"/>
        <v>0</v>
      </c>
      <c r="I48" s="571"/>
      <c r="J48" s="571"/>
    </row>
    <row r="49" spans="1:10" s="1" customFormat="1" ht="15" customHeight="1" x14ac:dyDescent="0.2">
      <c r="A49" s="568"/>
      <c r="B49" s="18" t="s">
        <v>64</v>
      </c>
      <c r="C49" s="19">
        <f>'[8]F 4 TRI _ Granulo'!K36</f>
        <v>0</v>
      </c>
      <c r="D49" s="20">
        <f>'[8]F 4 TRI _ Granulo'!H36</f>
        <v>0</v>
      </c>
      <c r="E49" s="20">
        <f>'[8]F 4 TRI _ Granulo'!E36</f>
        <v>0</v>
      </c>
      <c r="F49" s="20">
        <f t="shared" si="1"/>
        <v>0</v>
      </c>
      <c r="G49" s="21">
        <f t="shared" si="0"/>
        <v>0</v>
      </c>
      <c r="H49" s="21">
        <f t="shared" si="2"/>
        <v>0</v>
      </c>
      <c r="I49" s="571"/>
      <c r="J49" s="571"/>
    </row>
    <row r="50" spans="1:10" s="1" customFormat="1" ht="15" customHeight="1" x14ac:dyDescent="0.2">
      <c r="A50" s="568"/>
      <c r="B50" s="18" t="s">
        <v>65</v>
      </c>
      <c r="C50" s="19">
        <f>'[8]F 4 TRI _ Granulo'!K37</f>
        <v>1.3833333333333654E-2</v>
      </c>
      <c r="D50" s="20">
        <f>'[8]F 4 TRI _ Granulo'!H37</f>
        <v>0.19000000000000017</v>
      </c>
      <c r="E50" s="20">
        <f>'[8]F 4 TRI _ Granulo'!E37</f>
        <v>0.74</v>
      </c>
      <c r="F50" s="20">
        <f t="shared" si="1"/>
        <v>0.94383333333333375</v>
      </c>
      <c r="G50" s="21">
        <f t="shared" si="0"/>
        <v>1.8287740464572551E-2</v>
      </c>
      <c r="H50" s="21">
        <f t="shared" si="2"/>
        <v>1.8763470764900179E-2</v>
      </c>
      <c r="I50" s="571"/>
      <c r="J50" s="571"/>
    </row>
    <row r="51" spans="1:10" s="1" customFormat="1" ht="15" customHeight="1" x14ac:dyDescent="0.2">
      <c r="A51" s="570"/>
      <c r="B51" s="18" t="s">
        <v>66</v>
      </c>
      <c r="C51" s="19">
        <f>'[8]F 4 TRI _ Granulo'!K38</f>
        <v>0</v>
      </c>
      <c r="D51" s="20">
        <f>'[8]F 4 TRI _ Granulo'!H38</f>
        <v>0</v>
      </c>
      <c r="E51" s="20">
        <f>'[8]F 4 TRI _ Granulo'!E38</f>
        <v>0</v>
      </c>
      <c r="F51" s="20">
        <f t="shared" si="1"/>
        <v>0</v>
      </c>
      <c r="G51" s="21">
        <f t="shared" si="0"/>
        <v>0</v>
      </c>
      <c r="H51" s="21">
        <f t="shared" si="2"/>
        <v>0</v>
      </c>
      <c r="I51" s="571"/>
      <c r="J51" s="571"/>
    </row>
    <row r="52" spans="1:10" s="1" customFormat="1" ht="15" customHeight="1" x14ac:dyDescent="0.2">
      <c r="A52" s="247" t="s">
        <v>67</v>
      </c>
      <c r="B52" s="18" t="s">
        <v>68</v>
      </c>
      <c r="C52" s="19">
        <f>'[8]F 4 TRI _ Granulo'!K39</f>
        <v>0.19366666666666682</v>
      </c>
      <c r="D52" s="20">
        <f>'[8]F 4 TRI _ Granulo'!H39</f>
        <v>2.23</v>
      </c>
      <c r="E52" s="20">
        <f>'[8]F 4 TRI _ Granulo'!E39</f>
        <v>0</v>
      </c>
      <c r="F52" s="20">
        <f t="shared" si="1"/>
        <v>2.4236666666666666</v>
      </c>
      <c r="G52" s="21">
        <f t="shared" si="0"/>
        <v>4.6961031579695195E-2</v>
      </c>
      <c r="H52" s="21">
        <f>J52</f>
        <v>5.3281520014668043E-2</v>
      </c>
      <c r="I52" s="248">
        <f>G52</f>
        <v>4.6961031579695195E-2</v>
      </c>
      <c r="J52" s="248">
        <f>'[8]Calcul sous cat &gt;20'!N18/100</f>
        <v>5.3281520014668043E-2</v>
      </c>
    </row>
    <row r="53" spans="1:10" s="1" customFormat="1" ht="15" customHeight="1" x14ac:dyDescent="0.2">
      <c r="A53" s="567" t="s">
        <v>69</v>
      </c>
      <c r="B53" s="18" t="s">
        <v>121</v>
      </c>
      <c r="C53" s="19">
        <f>'[8]F 4 TRI _ Granulo'!K40</f>
        <v>0</v>
      </c>
      <c r="D53" s="20">
        <f>'[8]F 4 TRI _ Granulo'!H40</f>
        <v>8.0000000000000071E-2</v>
      </c>
      <c r="E53" s="20">
        <f>'[8]F 4 TRI _ Granulo'!E40</f>
        <v>0</v>
      </c>
      <c r="F53" s="20">
        <f t="shared" si="1"/>
        <v>8.0000000000000071E-2</v>
      </c>
      <c r="G53" s="21">
        <f t="shared" si="0"/>
        <v>1.5500821866492721E-3</v>
      </c>
      <c r="H53" s="243">
        <v>1E-3</v>
      </c>
      <c r="I53" s="571">
        <f>SUM(G53:G62)</f>
        <v>1.1199343798540979E-2</v>
      </c>
      <c r="J53" s="571">
        <f>'[8]Calcul sous cat &gt;20'!N19/100</f>
        <v>1.1360480502779921E-2</v>
      </c>
    </row>
    <row r="54" spans="1:10" s="1" customFormat="1" ht="15" customHeight="1" x14ac:dyDescent="0.2">
      <c r="A54" s="568"/>
      <c r="B54" s="18" t="s">
        <v>70</v>
      </c>
      <c r="C54" s="19">
        <f>'[8]F 4 TRI _ Granulo'!K41</f>
        <v>0</v>
      </c>
      <c r="D54" s="20">
        <f>'[8]F 4 TRI _ Granulo'!H41</f>
        <v>0</v>
      </c>
      <c r="E54" s="20">
        <f>'[8]F 4 TRI _ Granulo'!E41</f>
        <v>0</v>
      </c>
      <c r="F54" s="20">
        <f t="shared" si="1"/>
        <v>0</v>
      </c>
      <c r="G54" s="21">
        <f t="shared" si="0"/>
        <v>0</v>
      </c>
      <c r="H54" s="243">
        <v>0</v>
      </c>
      <c r="I54" s="571"/>
      <c r="J54" s="571"/>
    </row>
    <row r="55" spans="1:10" s="1" customFormat="1" ht="15" customHeight="1" x14ac:dyDescent="0.2">
      <c r="A55" s="568"/>
      <c r="B55" s="18" t="s">
        <v>71</v>
      </c>
      <c r="C55" s="19">
        <f>'[8]F 4 TRI _ Granulo'!K42</f>
        <v>0.49799999999999983</v>
      </c>
      <c r="D55" s="20">
        <f>'[8]F 4 TRI _ Granulo'!H42</f>
        <v>0</v>
      </c>
      <c r="E55" s="20">
        <f>'[8]F 4 TRI _ Granulo'!E42</f>
        <v>0</v>
      </c>
      <c r="F55" s="20">
        <f>SUM(C55:E55)</f>
        <v>0.49799999999999983</v>
      </c>
      <c r="G55" s="21">
        <f t="shared" si="0"/>
        <v>9.6492616118917067E-3</v>
      </c>
      <c r="H55" s="243">
        <v>0.01</v>
      </c>
      <c r="I55" s="571"/>
      <c r="J55" s="571"/>
    </row>
    <row r="56" spans="1:10" s="1" customFormat="1" ht="15" customHeight="1" x14ac:dyDescent="0.2">
      <c r="A56" s="568"/>
      <c r="B56" s="18" t="s">
        <v>72</v>
      </c>
      <c r="C56" s="19">
        <f>'[8]F 4 TRI _ Granulo'!K43</f>
        <v>0</v>
      </c>
      <c r="D56" s="20">
        <f>'[8]F 4 TRI _ Granulo'!H43</f>
        <v>0</v>
      </c>
      <c r="E56" s="20">
        <f>'[8]F 4 TRI _ Granulo'!E43</f>
        <v>0</v>
      </c>
      <c r="F56" s="20">
        <f t="shared" si="1"/>
        <v>0</v>
      </c>
      <c r="G56" s="21">
        <f>F56/$F$64</f>
        <v>0</v>
      </c>
      <c r="H56" s="243">
        <v>0</v>
      </c>
      <c r="I56" s="571"/>
      <c r="J56" s="571"/>
    </row>
    <row r="57" spans="1:10" s="1" customFormat="1" ht="17.25" customHeight="1" x14ac:dyDescent="0.2">
      <c r="A57" s="568"/>
      <c r="B57" s="18" t="s">
        <v>122</v>
      </c>
      <c r="C57" s="19">
        <f>'[8]F 4 TRI _ Granulo'!K44</f>
        <v>0</v>
      </c>
      <c r="D57" s="20">
        <f>'[8]F 4 TRI _ Granulo'!H44</f>
        <v>0</v>
      </c>
      <c r="E57" s="20">
        <f>'[8]F 4 TRI _ Granulo'!E44</f>
        <v>0</v>
      </c>
      <c r="F57" s="20">
        <f t="shared" si="1"/>
        <v>0</v>
      </c>
      <c r="G57" s="21">
        <f t="shared" ref="G57:G62" si="3">F57/$F$64</f>
        <v>0</v>
      </c>
      <c r="H57" s="243">
        <v>0</v>
      </c>
      <c r="I57" s="571"/>
      <c r="J57" s="571"/>
    </row>
    <row r="58" spans="1:10" s="1" customFormat="1" ht="17.25" customHeight="1" x14ac:dyDescent="0.2">
      <c r="A58" s="568"/>
      <c r="B58" s="18" t="s">
        <v>123</v>
      </c>
      <c r="C58" s="19">
        <f>'[8]F 4 TRI _ Granulo'!K45</f>
        <v>0</v>
      </c>
      <c r="D58" s="20">
        <f>'[8]F 4 TRI _ Granulo'!H45</f>
        <v>0</v>
      </c>
      <c r="E58" s="20">
        <f>'[8]F 4 TRI _ Granulo'!E45</f>
        <v>0</v>
      </c>
      <c r="F58" s="20">
        <f t="shared" si="1"/>
        <v>0</v>
      </c>
      <c r="G58" s="21">
        <f t="shared" si="3"/>
        <v>0</v>
      </c>
      <c r="H58" s="243">
        <v>0</v>
      </c>
      <c r="I58" s="571"/>
      <c r="J58" s="571"/>
    </row>
    <row r="59" spans="1:10" s="1" customFormat="1" ht="25.5" customHeight="1" x14ac:dyDescent="0.2">
      <c r="A59" s="568"/>
      <c r="B59" s="18" t="s">
        <v>124</v>
      </c>
      <c r="C59" s="19">
        <f>'[8]F 4 TRI _ Granulo'!K46</f>
        <v>0</v>
      </c>
      <c r="D59" s="20">
        <f>'[8]F 4 TRI _ Granulo'!H46</f>
        <v>0</v>
      </c>
      <c r="E59" s="20">
        <f>'[8]F 4 TRI _ Granulo'!E46</f>
        <v>0</v>
      </c>
      <c r="F59" s="20">
        <f t="shared" si="1"/>
        <v>0</v>
      </c>
      <c r="G59" s="21">
        <f t="shared" si="3"/>
        <v>0</v>
      </c>
      <c r="H59" s="243">
        <v>0</v>
      </c>
      <c r="I59" s="571"/>
      <c r="J59" s="571"/>
    </row>
    <row r="60" spans="1:10" ht="25.5" x14ac:dyDescent="0.25">
      <c r="A60" s="568"/>
      <c r="B60" s="18" t="s">
        <v>125</v>
      </c>
      <c r="C60" s="19">
        <f>'[8]F 4 TRI _ Granulo'!K47</f>
        <v>0</v>
      </c>
      <c r="D60" s="20">
        <f>'[8]F 4 TRI _ Granulo'!H47</f>
        <v>0</v>
      </c>
      <c r="E60" s="20">
        <f>'[8]F 4 TRI _ Granulo'!E47</f>
        <v>0</v>
      </c>
      <c r="F60" s="20">
        <f t="shared" si="1"/>
        <v>0</v>
      </c>
      <c r="G60" s="21">
        <f t="shared" si="3"/>
        <v>0</v>
      </c>
      <c r="H60" s="243">
        <v>0</v>
      </c>
      <c r="I60" s="571"/>
      <c r="J60" s="571"/>
    </row>
    <row r="61" spans="1:10" ht="38.25" x14ac:dyDescent="0.25">
      <c r="A61" s="568"/>
      <c r="B61" s="18" t="s">
        <v>126</v>
      </c>
      <c r="C61" s="19">
        <f>'[8]F 4 TRI _ Granulo'!K48</f>
        <v>0</v>
      </c>
      <c r="D61" s="20">
        <f>'[8]F 4 TRI _ Granulo'!H48</f>
        <v>0</v>
      </c>
      <c r="E61" s="20">
        <f>'[8]F 4 TRI _ Granulo'!E48</f>
        <v>0</v>
      </c>
      <c r="F61" s="20">
        <f t="shared" si="1"/>
        <v>0</v>
      </c>
      <c r="G61" s="21">
        <f t="shared" si="3"/>
        <v>0</v>
      </c>
      <c r="H61" s="243">
        <v>0</v>
      </c>
      <c r="I61" s="571"/>
      <c r="J61" s="571"/>
    </row>
    <row r="62" spans="1:10" ht="51" x14ac:dyDescent="0.25">
      <c r="A62" s="569"/>
      <c r="B62" s="18" t="s">
        <v>73</v>
      </c>
      <c r="C62" s="19">
        <f>'[8]F 4 TRI _ Granulo'!K49</f>
        <v>0</v>
      </c>
      <c r="D62" s="20">
        <f>'[8]F 4 TRI _ Granulo'!H49</f>
        <v>0</v>
      </c>
      <c r="E62" s="20">
        <f>'[8]F 4 TRI _ Granulo'!E49</f>
        <v>0</v>
      </c>
      <c r="F62" s="20">
        <f t="shared" si="1"/>
        <v>0</v>
      </c>
      <c r="G62" s="21">
        <f t="shared" si="3"/>
        <v>0</v>
      </c>
      <c r="H62" s="243">
        <v>0</v>
      </c>
      <c r="I62" s="571"/>
      <c r="J62" s="571"/>
    </row>
    <row r="63" spans="1:10" x14ac:dyDescent="0.25">
      <c r="A63" s="22" t="s">
        <v>74</v>
      </c>
      <c r="B63" s="23">
        <f>'[8]F 3 _ Criblage et Tri'!C27+'[8]F 3 _ Criblage et Tri'!D27</f>
        <v>8.56</v>
      </c>
      <c r="C63" s="19">
        <f>'[8]F 4 TRI _ Granulo'!K50</f>
        <v>0.16600000000000015</v>
      </c>
      <c r="D63" s="20">
        <f>'[8]F 4 TRI _ Granulo'!H50</f>
        <v>0.42000000000000037</v>
      </c>
      <c r="E63" s="20">
        <f>'[8]F 4 TRI _ Granulo'!E50</f>
        <v>0</v>
      </c>
      <c r="F63" s="19">
        <f>SUM(B63:E63)</f>
        <v>9.1460000000000008</v>
      </c>
      <c r="G63" s="21">
        <f t="shared" si="0"/>
        <v>0.17721314598867788</v>
      </c>
      <c r="H63" s="21">
        <f>J63</f>
        <v>8.7089489755693222E-2</v>
      </c>
      <c r="I63" s="24">
        <f>G63</f>
        <v>0.17721314598867788</v>
      </c>
      <c r="J63" s="24">
        <f>'[8]Calcul sous cat &gt;20'!N20/100</f>
        <v>8.7089489755693222E-2</v>
      </c>
    </row>
    <row r="64" spans="1:10" x14ac:dyDescent="0.25">
      <c r="A64" s="25" t="s">
        <v>25</v>
      </c>
      <c r="B64" s="90">
        <f>B63</f>
        <v>8.56</v>
      </c>
      <c r="C64" s="19">
        <f>SUM(C18:C63)</f>
        <v>14.760166666666677</v>
      </c>
      <c r="D64" s="19">
        <f>SUM(D18:D63)</f>
        <v>22.390000000000008</v>
      </c>
      <c r="E64" s="19">
        <f>SUM(E18:E63)</f>
        <v>5.9</v>
      </c>
      <c r="F64" s="19">
        <f>SUM(B64:E64)</f>
        <v>51.610166666666686</v>
      </c>
      <c r="G64" s="21">
        <f t="shared" si="0"/>
        <v>1</v>
      </c>
      <c r="H64" s="21">
        <f>SUM(H18:H63)</f>
        <v>0.99963951949721996</v>
      </c>
      <c r="I64" s="24">
        <f>SUM(I18:I63)</f>
        <v>0.99999999999999978</v>
      </c>
      <c r="J64" s="24">
        <f>SUM(J18:J63)</f>
        <v>1</v>
      </c>
    </row>
    <row r="65" spans="1:10" ht="51.75" x14ac:dyDescent="0.25">
      <c r="A65" s="26" t="s">
        <v>75</v>
      </c>
      <c r="B65" s="235">
        <f>B64/$F$64</f>
        <v>0.16585879397147199</v>
      </c>
      <c r="C65" s="235">
        <f>C64/$F$64</f>
        <v>0.2859933927746795</v>
      </c>
      <c r="D65" s="235">
        <f>D64/$F$64</f>
        <v>0.43382925198846478</v>
      </c>
      <c r="E65" s="235">
        <f>E64/$F$64</f>
        <v>0.11431856126538373</v>
      </c>
      <c r="F65" s="235">
        <f>F64/$F$64</f>
        <v>1</v>
      </c>
      <c r="G65" s="1"/>
      <c r="H65" s="1"/>
      <c r="I65" s="1"/>
      <c r="J65" s="1"/>
    </row>
  </sheetData>
  <mergeCells count="40">
    <mergeCell ref="B2:F2"/>
    <mergeCell ref="B11:C11"/>
    <mergeCell ref="D11:F11"/>
    <mergeCell ref="B3:F3"/>
    <mergeCell ref="A7:J7"/>
    <mergeCell ref="D9:F9"/>
    <mergeCell ref="D10:F10"/>
    <mergeCell ref="D12:F12"/>
    <mergeCell ref="A14:J14"/>
    <mergeCell ref="G16:G17"/>
    <mergeCell ref="H16:H17"/>
    <mergeCell ref="I16:I17"/>
    <mergeCell ref="J16:J17"/>
    <mergeCell ref="A18:A22"/>
    <mergeCell ref="I18:I22"/>
    <mergeCell ref="J18:J22"/>
    <mergeCell ref="A23:A27"/>
    <mergeCell ref="I23:I27"/>
    <mergeCell ref="J23:J27"/>
    <mergeCell ref="A28:A30"/>
    <mergeCell ref="I28:I30"/>
    <mergeCell ref="J28:J30"/>
    <mergeCell ref="A31:A34"/>
    <mergeCell ref="I31:I34"/>
    <mergeCell ref="J31:J34"/>
    <mergeCell ref="A36:A37"/>
    <mergeCell ref="I36:I37"/>
    <mergeCell ref="J36:J37"/>
    <mergeCell ref="A38:A42"/>
    <mergeCell ref="I38:I42"/>
    <mergeCell ref="J38:J42"/>
    <mergeCell ref="I53:I62"/>
    <mergeCell ref="J53:J62"/>
    <mergeCell ref="A44:A45"/>
    <mergeCell ref="I44:I45"/>
    <mergeCell ref="J44:J45"/>
    <mergeCell ref="A46:A51"/>
    <mergeCell ref="I46:I51"/>
    <mergeCell ref="J46:J51"/>
    <mergeCell ref="A53:A62"/>
  </mergeCells>
  <pageMargins left="0.70866141732283472" right="0.70866141732283472" top="0.74803149606299213" bottom="0.74803149606299213" header="0.31496062992125984" footer="0.31496062992125984"/>
  <pageSetup paperSize="9" scale="76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229"/>
  <sheetViews>
    <sheetView workbookViewId="0">
      <pane xSplit="2" ySplit="5" topLeftCell="C6" activePane="bottomRight" state="frozen"/>
      <selection activeCell="H4" sqref="H4"/>
      <selection pane="topRight" activeCell="H4" sqref="H4"/>
      <selection pane="bottomLeft" activeCell="H4" sqref="H4"/>
      <selection pane="bottomRight" activeCell="R57" sqref="R57"/>
    </sheetView>
  </sheetViews>
  <sheetFormatPr baseColWidth="10" defaultRowHeight="15" x14ac:dyDescent="0.25"/>
  <cols>
    <col min="1" max="1" width="16.28515625" customWidth="1"/>
    <col min="2" max="2" width="26.85546875" customWidth="1"/>
    <col min="3" max="3" width="11.140625" customWidth="1"/>
    <col min="4" max="5" width="9.7109375" customWidth="1"/>
    <col min="6" max="13" width="8.28515625" customWidth="1"/>
    <col min="14" max="14" width="8" customWidth="1"/>
    <col min="15" max="18" width="11.42578125" customWidth="1"/>
  </cols>
  <sheetData>
    <row r="1" spans="1:28" x14ac:dyDescent="0.25">
      <c r="A1" s="617"/>
      <c r="B1" s="201"/>
      <c r="C1" s="617" t="str">
        <f>'ISS E15 PB BAN'!B2</f>
        <v>ISS-E15-PB-BAN</v>
      </c>
      <c r="D1" s="617"/>
      <c r="E1" s="618" t="str">
        <f>'ISS E15 PB PAR'!B2</f>
        <v>ISS-E15-PB-PAR</v>
      </c>
      <c r="F1" s="618"/>
      <c r="G1" s="618" t="str">
        <f>'IVR E15 PB BAN'!B2</f>
        <v>IVR-E15-PB-BAN</v>
      </c>
      <c r="H1" s="618"/>
      <c r="I1" s="618" t="str">
        <f>'IVR E15 PB PAR'!B2</f>
        <v>IVR-E15-PB-PAR</v>
      </c>
      <c r="J1" s="618"/>
      <c r="K1" s="618" t="str">
        <f>'ROM E15 PB BAN'!B2</f>
        <v>ROM-E15-PB-BAN</v>
      </c>
      <c r="L1" s="618"/>
      <c r="M1" s="618" t="str">
        <f>'ROM E15 PB PAR'!B2</f>
        <v>ROM-E15-PB-PAR</v>
      </c>
      <c r="N1" s="618"/>
      <c r="O1" s="618" t="str">
        <f>'STO E15 PB BAN'!B2</f>
        <v>STO-E15-PB-BAN</v>
      </c>
      <c r="P1" s="618"/>
      <c r="Q1" s="618" t="str">
        <f>'STO E15 PB PAR '!B2</f>
        <v>STO-E15-PB-PAR</v>
      </c>
      <c r="R1" s="618"/>
      <c r="S1" s="641" t="s">
        <v>76</v>
      </c>
      <c r="T1" s="641"/>
      <c r="U1" s="616" t="s">
        <v>77</v>
      </c>
      <c r="V1" s="616"/>
      <c r="W1" s="616" t="s">
        <v>78</v>
      </c>
      <c r="X1" s="616"/>
    </row>
    <row r="2" spans="1:28" x14ac:dyDescent="0.25">
      <c r="A2" s="617"/>
      <c r="B2" s="202"/>
      <c r="C2" s="619">
        <f>'ISS E15 PB BAN'!G11</f>
        <v>0.28133333333333338</v>
      </c>
      <c r="D2" s="619"/>
      <c r="E2" s="619">
        <f>'ISS E15 PB PAR'!G11</f>
        <v>0.28177777777777785</v>
      </c>
      <c r="F2" s="619"/>
      <c r="G2" s="619">
        <f>'IVR E15 PB BAN'!G11</f>
        <v>0.31412499999999999</v>
      </c>
      <c r="H2" s="619"/>
      <c r="I2" s="619">
        <f>'IVR E15 PB PAR'!G11</f>
        <v>0.25216000000000005</v>
      </c>
      <c r="J2" s="619"/>
      <c r="K2" s="619">
        <f>'ROM E15 PB BAN'!G11</f>
        <v>0.25719999999999998</v>
      </c>
      <c r="L2" s="619"/>
      <c r="M2" s="619">
        <f>'ROM E15 PB PAR'!G11</f>
        <v>0.2492</v>
      </c>
      <c r="N2" s="619"/>
      <c r="O2" s="619">
        <f>'STO E15 PB BAN'!G11</f>
        <v>2.8222222222222223E-4</v>
      </c>
      <c r="P2" s="619"/>
      <c r="Q2" s="619">
        <f>'STO E15 PB PAR '!G11</f>
        <v>2.8688888888888888E-4</v>
      </c>
      <c r="R2" s="619"/>
      <c r="S2" s="607">
        <f>AVERAGE(C2:R2)</f>
        <v>0.20454565277777784</v>
      </c>
      <c r="T2" s="607"/>
      <c r="U2" s="607">
        <f>AVERAGE(E2,I2,M2,Q2)</f>
        <v>0.19585616666666666</v>
      </c>
      <c r="V2" s="607"/>
      <c r="W2" s="607">
        <f>AVERAGE(C2,G2,K2,O2)</f>
        <v>0.2132351388888889</v>
      </c>
      <c r="X2" s="607"/>
    </row>
    <row r="3" spans="1:28" x14ac:dyDescent="0.25">
      <c r="A3" s="617"/>
      <c r="B3" s="202" t="s">
        <v>79</v>
      </c>
      <c r="C3" s="620">
        <f>'ISS E15 PB BAN'!G12</f>
        <v>0.33700631911532386</v>
      </c>
      <c r="D3" s="620"/>
      <c r="E3" s="609">
        <f>'ISS E15 PB PAR'!G12</f>
        <v>0.36735015772870672</v>
      </c>
      <c r="F3" s="609"/>
      <c r="G3" s="609">
        <f>'IVR E15 PB BAN'!G12</f>
        <v>0.35286112216474347</v>
      </c>
      <c r="H3" s="609"/>
      <c r="I3" s="609">
        <f>'IVR E15 PB PAR'!G12</f>
        <v>0.3937182741116752</v>
      </c>
      <c r="J3" s="609"/>
      <c r="K3" s="609">
        <f>'ROM E15 PB BAN'!G12</f>
        <v>0.45878693623639183</v>
      </c>
      <c r="L3" s="609"/>
      <c r="M3" s="609">
        <f>'ROM E15 PB PAR'!G12</f>
        <v>0.3346789727126806</v>
      </c>
      <c r="N3" s="609"/>
      <c r="O3" s="609">
        <f>'STO E15 PB BAN'!G12</f>
        <v>0.38456692913385832</v>
      </c>
      <c r="P3" s="609"/>
      <c r="Q3" s="609">
        <f>'STO E15 PB PAR '!G12</f>
        <v>0.40505034856700223</v>
      </c>
      <c r="R3" s="609"/>
      <c r="S3" s="606">
        <f>AVERAGE(C3:R3)</f>
        <v>0.37925238247129772</v>
      </c>
      <c r="T3" s="606"/>
      <c r="U3" s="608">
        <f>AVERAGE(E3,I3,M3,Q3)</f>
        <v>0.37519943828001623</v>
      </c>
      <c r="V3" s="608"/>
      <c r="W3" s="608">
        <f>AVERAGE(C3,G3,K3,O3)</f>
        <v>0.38330532666257938</v>
      </c>
      <c r="X3" s="608"/>
    </row>
    <row r="4" spans="1:28" ht="15" customHeight="1" x14ac:dyDescent="0.25">
      <c r="A4" s="642"/>
      <c r="B4" s="643"/>
      <c r="C4" s="612" t="s">
        <v>16</v>
      </c>
      <c r="D4" s="611" t="s">
        <v>17</v>
      </c>
      <c r="E4" s="612" t="s">
        <v>16</v>
      </c>
      <c r="F4" s="611" t="s">
        <v>17</v>
      </c>
      <c r="G4" s="612" t="s">
        <v>16</v>
      </c>
      <c r="H4" s="611" t="s">
        <v>17</v>
      </c>
      <c r="I4" s="612" t="s">
        <v>16</v>
      </c>
      <c r="J4" s="611" t="s">
        <v>17</v>
      </c>
      <c r="K4" s="612" t="s">
        <v>16</v>
      </c>
      <c r="L4" s="611" t="s">
        <v>17</v>
      </c>
      <c r="M4" s="612" t="s">
        <v>16</v>
      </c>
      <c r="N4" s="611" t="s">
        <v>17</v>
      </c>
      <c r="O4" s="612" t="s">
        <v>16</v>
      </c>
      <c r="P4" s="611" t="s">
        <v>17</v>
      </c>
      <c r="Q4" s="612" t="s">
        <v>16</v>
      </c>
      <c r="R4" s="611" t="s">
        <v>17</v>
      </c>
      <c r="S4" s="610" t="s">
        <v>107</v>
      </c>
      <c r="T4" s="610" t="s">
        <v>108</v>
      </c>
      <c r="U4" s="610" t="s">
        <v>107</v>
      </c>
      <c r="V4" s="610" t="s">
        <v>108</v>
      </c>
      <c r="W4" s="610" t="s">
        <v>107</v>
      </c>
      <c r="X4" s="610" t="s">
        <v>108</v>
      </c>
    </row>
    <row r="5" spans="1:28" x14ac:dyDescent="0.25">
      <c r="A5" s="196" t="s">
        <v>20</v>
      </c>
      <c r="B5" s="206" t="s">
        <v>21</v>
      </c>
      <c r="C5" s="612"/>
      <c r="D5" s="611"/>
      <c r="E5" s="612"/>
      <c r="F5" s="611"/>
      <c r="G5" s="612"/>
      <c r="H5" s="611"/>
      <c r="I5" s="612"/>
      <c r="J5" s="611"/>
      <c r="K5" s="612"/>
      <c r="L5" s="611"/>
      <c r="M5" s="612"/>
      <c r="N5" s="611"/>
      <c r="O5" s="612"/>
      <c r="P5" s="611"/>
      <c r="Q5" s="612"/>
      <c r="R5" s="611"/>
      <c r="S5" s="610"/>
      <c r="T5" s="610"/>
      <c r="U5" s="610"/>
      <c r="V5" s="610"/>
      <c r="W5" s="610"/>
      <c r="X5" s="610"/>
      <c r="AA5" t="s">
        <v>87</v>
      </c>
      <c r="AB5" t="s">
        <v>88</v>
      </c>
    </row>
    <row r="6" spans="1:28" ht="25.5" x14ac:dyDescent="0.25">
      <c r="A6" s="603" t="s">
        <v>26</v>
      </c>
      <c r="B6" s="181" t="s">
        <v>119</v>
      </c>
      <c r="C6" s="174">
        <f>'ISS E15 PB BAN'!G18</f>
        <v>0.24323220043005975</v>
      </c>
      <c r="D6" s="111">
        <f>'ISS E15 PB BAN'!H18</f>
        <v>0.43310340943982045</v>
      </c>
      <c r="E6" s="111">
        <f>'ISS E15 PB PAR'!G18</f>
        <v>3.2709152801631822E-2</v>
      </c>
      <c r="F6" s="111">
        <f>'ISS E15 PB PAR'!H18</f>
        <v>6.8913027826501175E-2</v>
      </c>
      <c r="G6" s="111">
        <f>'IVR E15 PB BAN'!G18</f>
        <v>6.0252282976222135E-2</v>
      </c>
      <c r="H6" s="111">
        <f>'IVR E15 PB BAN'!H18</f>
        <v>0.12027097601071632</v>
      </c>
      <c r="I6" s="111">
        <f>'IVR E15 PB PAR'!G18</f>
        <v>6.8318736195329563E-2</v>
      </c>
      <c r="J6" s="111">
        <f>'IVR E15 PB PAR'!H18</f>
        <v>0.1551001894253583</v>
      </c>
      <c r="K6" s="111">
        <f>'ROM E15 PB BAN'!G18</f>
        <v>0.11437969534719625</v>
      </c>
      <c r="L6" s="111">
        <f>'ROM E15 PB BAN'!H18</f>
        <v>0.22884937175975531</v>
      </c>
      <c r="M6" s="111">
        <f>'ROM E15 PB PAR'!G18</f>
        <v>7.1066547055327854E-3</v>
      </c>
      <c r="N6" s="111">
        <f>'ROM E15 PB PAR'!H18</f>
        <v>1.7905636982430397E-2</v>
      </c>
      <c r="O6" s="111">
        <f>'STO E15 PB BAN'!G18</f>
        <v>4.1330569501996831E-2</v>
      </c>
      <c r="P6" s="111">
        <f>'STO E15 PB BAN'!H18</f>
        <v>9.0494850790392087E-2</v>
      </c>
      <c r="Q6" s="111">
        <f>'STO E15 PB PAR '!G18</f>
        <v>5.8967709850449397E-3</v>
      </c>
      <c r="R6" s="111">
        <f>'STO E15 PB PAR '!H18</f>
        <v>1.4389819354234116E-2</v>
      </c>
      <c r="S6" s="62">
        <f>AVERAGE(C6,E6,G6,I6,K6,M6,O6,Q6)</f>
        <v>7.1653257867876755E-2</v>
      </c>
      <c r="T6" s="62">
        <f>AVERAGE(D6,F6,H6,J6,L6,N6,P6,R6)</f>
        <v>0.14112841019865102</v>
      </c>
      <c r="U6" s="62">
        <f>AVERAGE(E6,I6,M6,Q6)</f>
        <v>2.8507828671884779E-2</v>
      </c>
      <c r="V6" s="62">
        <f>AVERAGE(F6,J6,N6,R6)</f>
        <v>6.4077168397130999E-2</v>
      </c>
      <c r="W6" s="62">
        <f>AVERAGE(C6,G6,K6,O6)</f>
        <v>0.11479868706386874</v>
      </c>
      <c r="X6" s="62">
        <f>AVERAGE(D6,H6,L6,P6)</f>
        <v>0.21817965200017103</v>
      </c>
      <c r="Y6" s="232">
        <f>+(W6+U6)/2-S6</f>
        <v>0</v>
      </c>
      <c r="Z6" s="232">
        <f>+(X6+V6)/2-T6</f>
        <v>0</v>
      </c>
      <c r="AA6" s="31">
        <f>MIN(D6,F6,H6,J6,L6,N6,P6,R6)</f>
        <v>1.4389819354234116E-2</v>
      </c>
      <c r="AB6" s="31">
        <f>MAX(D6,F6,H6,J6,L6,N6,P6,R6)</f>
        <v>0.43310340943982045</v>
      </c>
    </row>
    <row r="7" spans="1:28" ht="25.5" x14ac:dyDescent="0.25">
      <c r="A7" s="603"/>
      <c r="B7" s="181" t="s">
        <v>27</v>
      </c>
      <c r="C7" s="174">
        <f>'ISS E15 PB BAN'!G19</f>
        <v>1.6668683804145368E-2</v>
      </c>
      <c r="D7" s="111">
        <f>'ISS E15 PB BAN'!H19</f>
        <v>2.9680543010692124E-2</v>
      </c>
      <c r="E7" s="111">
        <f>'ISS E15 PB PAR'!G19</f>
        <v>8.1941124359906706E-2</v>
      </c>
      <c r="F7" s="111">
        <f>'ISS E15 PB PAR'!H19</f>
        <v>0.17263702968385444</v>
      </c>
      <c r="G7" s="111">
        <f>'IVR E15 PB BAN'!G19</f>
        <v>0.10077169873813017</v>
      </c>
      <c r="H7" s="111">
        <f>'IVR E15 PB BAN'!H19</f>
        <v>0.20115271924676723</v>
      </c>
      <c r="I7" s="111">
        <f>'IVR E15 PB PAR'!G19</f>
        <v>2.8765835419809489E-2</v>
      </c>
      <c r="J7" s="111">
        <f>'IVR E15 PB PAR'!H19</f>
        <v>6.5305460420623795E-2</v>
      </c>
      <c r="K7" s="111">
        <f>'ROM E15 PB BAN'!G19</f>
        <v>3.7220354459801597E-2</v>
      </c>
      <c r="L7" s="111">
        <f>'ROM E15 PB BAN'!H19</f>
        <v>7.4469989703550982E-2</v>
      </c>
      <c r="M7" s="111">
        <f>'ROM E15 PB PAR'!G19</f>
        <v>3.6199463263042748E-2</v>
      </c>
      <c r="N7" s="111">
        <f>'ROM E15 PB PAR'!H19</f>
        <v>9.1206689364299875E-2</v>
      </c>
      <c r="O7" s="111">
        <f>'STO E15 PB BAN'!G19</f>
        <v>3.8777745298260717E-2</v>
      </c>
      <c r="P7" s="111">
        <f>'STO E15 PB BAN'!H19</f>
        <v>8.4905345293739304E-2</v>
      </c>
      <c r="Q7" s="111">
        <f>'STO E15 PB PAR '!G19</f>
        <v>3.149896176786874E-2</v>
      </c>
      <c r="R7" s="111">
        <f>'STO E15 PB PAR '!H19</f>
        <v>7.6866537777217692E-2</v>
      </c>
      <c r="S7" s="62">
        <f t="shared" ref="S7:S51" si="0">AVERAGE(C7,E7,G7,I7,K7,M7,O7,Q7)</f>
        <v>4.6480483388870696E-2</v>
      </c>
      <c r="T7" s="62">
        <f t="shared" ref="T7:T51" si="1">AVERAGE(D7,F7,H7,J7,L7,N7,P7,R7)</f>
        <v>9.9528039312593186E-2</v>
      </c>
      <c r="U7" s="62">
        <f t="shared" ref="U7:U51" si="2">AVERAGE(E7,I7,M7,Q7)</f>
        <v>4.4601346202656919E-2</v>
      </c>
      <c r="V7" s="62">
        <f>AVERAGE(F7,J7,N7,R7)</f>
        <v>0.10150392931149894</v>
      </c>
      <c r="W7" s="62">
        <f t="shared" ref="W7:W51" si="3">AVERAGE(C7,G7,K7,O7)</f>
        <v>4.8359620575084465E-2</v>
      </c>
      <c r="X7" s="62">
        <f t="shared" ref="X7:X51" si="4">AVERAGE(D7,H7,L7,P7)</f>
        <v>9.7552149313687414E-2</v>
      </c>
      <c r="Y7" s="232">
        <f t="shared" ref="Y7:Y51" si="5">+(W7+U7)/2-S7</f>
        <v>0</v>
      </c>
      <c r="Z7" s="232">
        <f t="shared" ref="Z7:Z51" si="6">+(X7+V7)/2-T7</f>
        <v>0</v>
      </c>
      <c r="AA7" s="31">
        <f t="shared" ref="AA7:AA51" si="7">MIN(D7,F7,H7,J7,L7,N7,P7,R7)</f>
        <v>2.9680543010692124E-2</v>
      </c>
      <c r="AB7" s="31">
        <f t="shared" ref="AB7:AB51" si="8">MAX(D7,F7,H7,J7,L7,N7,P7,R7)</f>
        <v>0.20115271924676723</v>
      </c>
    </row>
    <row r="8" spans="1:28" x14ac:dyDescent="0.25">
      <c r="A8" s="603"/>
      <c r="B8" s="181" t="s">
        <v>28</v>
      </c>
      <c r="C8" s="174">
        <f>'ISS E15 PB BAN'!G20</f>
        <v>0</v>
      </c>
      <c r="D8" s="111">
        <f>'ISS E15 PB BAN'!H20</f>
        <v>0</v>
      </c>
      <c r="E8" s="111">
        <f>'ISS E15 PB PAR'!G20</f>
        <v>0</v>
      </c>
      <c r="F8" s="111">
        <f>'ISS E15 PB PAR'!H20</f>
        <v>0</v>
      </c>
      <c r="G8" s="111">
        <f>'IVR E15 PB BAN'!G20</f>
        <v>0</v>
      </c>
      <c r="H8" s="111">
        <f>'IVR E15 PB BAN'!H20</f>
        <v>0</v>
      </c>
      <c r="I8" s="111">
        <f>'IVR E15 PB PAR'!G20</f>
        <v>0</v>
      </c>
      <c r="J8" s="111">
        <f>'IVR E15 PB PAR'!H20</f>
        <v>0</v>
      </c>
      <c r="K8" s="111">
        <f>'ROM E15 PB BAN'!G20</f>
        <v>2.7601377993608117E-3</v>
      </c>
      <c r="L8" s="111">
        <f>'ROM E15 PB BAN'!H20</f>
        <v>5.5224469643558897E-3</v>
      </c>
      <c r="M8" s="111">
        <f>'ROM E15 PB PAR'!G20</f>
        <v>0</v>
      </c>
      <c r="N8" s="111">
        <f>'ROM E15 PB PAR'!H20</f>
        <v>0</v>
      </c>
      <c r="O8" s="111">
        <f>'STO E15 PB BAN'!G20</f>
        <v>0</v>
      </c>
      <c r="P8" s="111">
        <f>'STO E15 PB BAN'!H20</f>
        <v>0</v>
      </c>
      <c r="Q8" s="111">
        <f>'STO E15 PB PAR '!G20</f>
        <v>0</v>
      </c>
      <c r="R8" s="111">
        <f>'STO E15 PB PAR '!H20</f>
        <v>0</v>
      </c>
      <c r="S8" s="62">
        <f t="shared" si="0"/>
        <v>3.4501722492010146E-4</v>
      </c>
      <c r="T8" s="62">
        <f t="shared" si="1"/>
        <v>6.9030587054448621E-4</v>
      </c>
      <c r="U8" s="62">
        <f t="shared" si="2"/>
        <v>0</v>
      </c>
      <c r="V8" s="62">
        <f t="shared" ref="V8:V51" si="9">AVERAGE(F8,J8,N8,R8)</f>
        <v>0</v>
      </c>
      <c r="W8" s="62">
        <f t="shared" si="3"/>
        <v>6.9003444984020292E-4</v>
      </c>
      <c r="X8" s="62">
        <f t="shared" si="4"/>
        <v>1.3806117410889724E-3</v>
      </c>
      <c r="Y8" s="232">
        <f t="shared" si="5"/>
        <v>0</v>
      </c>
      <c r="Z8" s="232">
        <f t="shared" si="6"/>
        <v>0</v>
      </c>
      <c r="AA8" s="31">
        <f t="shared" si="7"/>
        <v>0</v>
      </c>
      <c r="AB8" s="31">
        <f t="shared" si="8"/>
        <v>5.5224469643558897E-3</v>
      </c>
    </row>
    <row r="9" spans="1:28" x14ac:dyDescent="0.25">
      <c r="A9" s="603"/>
      <c r="B9" s="181" t="s">
        <v>29</v>
      </c>
      <c r="C9" s="174">
        <f>'ISS E15 PB BAN'!G21</f>
        <v>1.1784329480752421E-3</v>
      </c>
      <c r="D9" s="111">
        <f>'ISS E15 PB BAN'!H21</f>
        <v>2.0983378298810584E-3</v>
      </c>
      <c r="E9" s="111">
        <f>'ISS E15 PB PAR'!G21</f>
        <v>3.313915187483773E-3</v>
      </c>
      <c r="F9" s="111">
        <f>'ISS E15 PB PAR'!H21</f>
        <v>6.9818968077443111E-3</v>
      </c>
      <c r="G9" s="111">
        <f>'IVR E15 PB BAN'!G21</f>
        <v>1.5495848968702579E-3</v>
      </c>
      <c r="H9" s="111">
        <f>'IVR E15 PB BAN'!H21</f>
        <v>3.0931622629403084E-3</v>
      </c>
      <c r="I9" s="111">
        <f>'IVR E15 PB PAR'!G21</f>
        <v>0</v>
      </c>
      <c r="J9" s="111">
        <f>'IVR E15 PB PAR'!H21</f>
        <v>0</v>
      </c>
      <c r="K9" s="111">
        <f>'ROM E15 PB BAN'!G21</f>
        <v>1.0168928734487202E-3</v>
      </c>
      <c r="L9" s="111">
        <f>'ROM E15 PB BAN'!H21</f>
        <v>2.0345857237100647E-3</v>
      </c>
      <c r="M9" s="111">
        <f>'ROM E15 PB PAR'!G21</f>
        <v>2.0969835988629373E-3</v>
      </c>
      <c r="N9" s="111">
        <f>'ROM E15 PB PAR'!H21</f>
        <v>5.2834742414202092E-3</v>
      </c>
      <c r="O9" s="111">
        <f>'STO E15 PB BAN'!G21</f>
        <v>1.224565575486568E-4</v>
      </c>
      <c r="P9" s="111">
        <f>'STO E15 PB BAN'!H21</f>
        <v>2.6812328107734786E-4</v>
      </c>
      <c r="Q9" s="111">
        <f>'STO E15 PB PAR '!G21</f>
        <v>5.3607008954953991E-4</v>
      </c>
      <c r="R9" s="111">
        <f>'STO E15 PB PAR '!H21</f>
        <v>1.3081653958394647E-3</v>
      </c>
      <c r="S9" s="62">
        <f t="shared" si="0"/>
        <v>1.2267920189798908E-3</v>
      </c>
      <c r="T9" s="62">
        <f t="shared" si="1"/>
        <v>2.6334681928265953E-3</v>
      </c>
      <c r="U9" s="62">
        <f t="shared" si="2"/>
        <v>1.4867422189740627E-3</v>
      </c>
      <c r="V9" s="62">
        <f t="shared" si="9"/>
        <v>3.3933841112509964E-3</v>
      </c>
      <c r="W9" s="62">
        <f t="shared" si="3"/>
        <v>9.6684181898571927E-4</v>
      </c>
      <c r="X9" s="62">
        <f t="shared" si="4"/>
        <v>1.8735522744021947E-3</v>
      </c>
      <c r="Y9" s="232">
        <f t="shared" si="5"/>
        <v>0</v>
      </c>
      <c r="Z9" s="232">
        <f t="shared" si="6"/>
        <v>0</v>
      </c>
      <c r="AA9" s="31">
        <f t="shared" si="7"/>
        <v>0</v>
      </c>
      <c r="AB9" s="31">
        <f t="shared" si="8"/>
        <v>6.9818968077443111E-3</v>
      </c>
    </row>
    <row r="10" spans="1:28" x14ac:dyDescent="0.25">
      <c r="A10" s="603"/>
      <c r="B10" s="181" t="s">
        <v>30</v>
      </c>
      <c r="C10" s="174">
        <f>'ISS E15 PB BAN'!G22</f>
        <v>4.9025540600427546E-3</v>
      </c>
      <c r="D10" s="111">
        <f>'ISS E15 PB BAN'!H22</f>
        <v>8.7295714737329749E-3</v>
      </c>
      <c r="E10" s="111">
        <f>'ISS E15 PB PAR'!G22</f>
        <v>4.1872725284029019E-3</v>
      </c>
      <c r="F10" s="111">
        <f>'ISS E15 PB PAR'!H22</f>
        <v>8.8219230261621841E-3</v>
      </c>
      <c r="G10" s="111">
        <f>'IVR E15 PB BAN'!G22</f>
        <v>4.7929761857099743E-3</v>
      </c>
      <c r="H10" s="111">
        <f>'IVR E15 PB BAN'!H22</f>
        <v>9.5673706518133173E-3</v>
      </c>
      <c r="I10" s="111">
        <f>'IVR E15 PB PAR'!G22</f>
        <v>1.2686037294982829E-4</v>
      </c>
      <c r="J10" s="111">
        <f>'IVR E15 PB PAR'!H22</f>
        <v>2.8800397915491698E-4</v>
      </c>
      <c r="K10" s="111">
        <f>'ROM E15 PB BAN'!G22</f>
        <v>0</v>
      </c>
      <c r="L10" s="111">
        <f>'ROM E15 PB BAN'!H22</f>
        <v>0</v>
      </c>
      <c r="M10" s="111">
        <f>'ROM E15 PB PAR'!G22</f>
        <v>0</v>
      </c>
      <c r="N10" s="111">
        <f>'ROM E15 PB PAR'!H22</f>
        <v>0</v>
      </c>
      <c r="O10" s="111">
        <f>'STO E15 PB BAN'!G22</f>
        <v>0</v>
      </c>
      <c r="P10" s="111">
        <f>'STO E15 PB BAN'!H22</f>
        <v>0</v>
      </c>
      <c r="Q10" s="111">
        <f>'STO E15 PB PAR '!G22</f>
        <v>0</v>
      </c>
      <c r="R10" s="111">
        <f>'STO E15 PB PAR '!H22</f>
        <v>0</v>
      </c>
      <c r="S10" s="62">
        <f t="shared" si="0"/>
        <v>1.7512078933881823E-3</v>
      </c>
      <c r="T10" s="62">
        <f t="shared" si="1"/>
        <v>3.4258586413579242E-3</v>
      </c>
      <c r="U10" s="62">
        <f t="shared" si="2"/>
        <v>1.0785332253381826E-3</v>
      </c>
      <c r="V10" s="62">
        <f t="shared" si="9"/>
        <v>2.2774817513292753E-3</v>
      </c>
      <c r="W10" s="62">
        <f t="shared" si="3"/>
        <v>2.423882561438182E-3</v>
      </c>
      <c r="X10" s="62">
        <f t="shared" si="4"/>
        <v>4.574235531386573E-3</v>
      </c>
      <c r="Y10" s="232">
        <f t="shared" si="5"/>
        <v>0</v>
      </c>
      <c r="Z10" s="232">
        <f t="shared" si="6"/>
        <v>0</v>
      </c>
      <c r="AA10" s="31">
        <f t="shared" si="7"/>
        <v>0</v>
      </c>
      <c r="AB10" s="31">
        <f t="shared" si="8"/>
        <v>9.5673706518133173E-3</v>
      </c>
    </row>
    <row r="11" spans="1:28" x14ac:dyDescent="0.25">
      <c r="A11" s="602" t="s">
        <v>31</v>
      </c>
      <c r="B11" s="203" t="s">
        <v>32</v>
      </c>
      <c r="C11" s="176">
        <f>'ISS E15 PB BAN'!G23</f>
        <v>8.1598519269426226E-3</v>
      </c>
      <c r="D11" s="96">
        <f>'ISS E15 PB BAN'!H23</f>
        <v>6.1126168858626328E-3</v>
      </c>
      <c r="E11" s="96">
        <f>'ISS E15 PB PAR'!G23</f>
        <v>1.6891031555252387E-3</v>
      </c>
      <c r="F11" s="96">
        <f>'ISS E15 PB PAR'!H23</f>
        <v>1.490998077469455E-3</v>
      </c>
      <c r="G11" s="96">
        <f>'IVR E15 PB BAN'!G23</f>
        <v>1.1835716703487893E-2</v>
      </c>
      <c r="H11" s="96">
        <f>'IVR E15 PB BAN'!H23</f>
        <v>9.9198903727027218E-3</v>
      </c>
      <c r="I11" s="96">
        <f>'IVR E15 PB PAR'!G23</f>
        <v>9.8685569190040852E-3</v>
      </c>
      <c r="J11" s="96">
        <f>'IVR E15 PB PAR'!H23</f>
        <v>9.3800108684676687E-3</v>
      </c>
      <c r="K11" s="96">
        <f>'ROM E15 PB BAN'!G23</f>
        <v>1.2918690075955676E-2</v>
      </c>
      <c r="L11" s="96">
        <f>'ROM E15 PB BAN'!H23</f>
        <v>1.075588247255883E-2</v>
      </c>
      <c r="M11" s="96">
        <f>'ROM E15 PB PAR'!G23</f>
        <v>1.4678885192040551E-2</v>
      </c>
      <c r="N11" s="96">
        <f>'ROM E15 PB PAR'!H23</f>
        <v>1.551277683087096E-2</v>
      </c>
      <c r="O11" s="96">
        <f>'STO E15 PB BAN'!G23</f>
        <v>1.4200516687668628E-2</v>
      </c>
      <c r="P11" s="96">
        <f>'STO E15 PB BAN'!H23</f>
        <v>1.3054837519285276E-2</v>
      </c>
      <c r="Q11" s="96">
        <f>'STO E15 PB PAR '!G23</f>
        <v>8.3316917532398338E-3</v>
      </c>
      <c r="R11" s="96">
        <f>'STO E15 PB PAR '!H23</f>
        <v>8.3913479303851079E-3</v>
      </c>
      <c r="S11" s="60">
        <f t="shared" si="0"/>
        <v>1.0210376551733067E-2</v>
      </c>
      <c r="T11" s="60">
        <f t="shared" si="1"/>
        <v>9.3272951197003323E-3</v>
      </c>
      <c r="U11" s="60">
        <f t="shared" si="2"/>
        <v>8.6420592549524278E-3</v>
      </c>
      <c r="V11" s="60">
        <f t="shared" si="9"/>
        <v>8.6937834267982982E-3</v>
      </c>
      <c r="W11" s="60">
        <f t="shared" si="3"/>
        <v>1.1778693848513704E-2</v>
      </c>
      <c r="X11" s="60">
        <f t="shared" si="4"/>
        <v>9.9608068126023647E-3</v>
      </c>
      <c r="Y11" s="232">
        <f t="shared" si="5"/>
        <v>0</v>
      </c>
      <c r="Z11" s="232">
        <f t="shared" si="6"/>
        <v>0</v>
      </c>
      <c r="AA11" s="252">
        <f t="shared" si="7"/>
        <v>1.490998077469455E-3</v>
      </c>
      <c r="AB11" s="252">
        <f t="shared" si="8"/>
        <v>1.551277683087096E-2</v>
      </c>
    </row>
    <row r="12" spans="1:28" x14ac:dyDescent="0.25">
      <c r="A12" s="602"/>
      <c r="B12" s="203" t="s">
        <v>33</v>
      </c>
      <c r="C12" s="176">
        <f>'ISS E15 PB BAN'!G24</f>
        <v>8.718128848675559E-2</v>
      </c>
      <c r="D12" s="96">
        <f>'ISS E15 PB BAN'!H24</f>
        <v>6.2964752300943186E-2</v>
      </c>
      <c r="E12" s="96">
        <f>'ISS E15 PB PAR'!G24</f>
        <v>3.3690218648266587E-2</v>
      </c>
      <c r="F12" s="96">
        <f>'ISS E15 PB PAR'!H24</f>
        <v>2.8774335884810556E-2</v>
      </c>
      <c r="G12" s="96">
        <f>'IVR E15 PB BAN'!G24</f>
        <v>4.3030780597704814E-2</v>
      </c>
      <c r="H12" s="96">
        <f>'IVR E15 PB BAN'!H24</f>
        <v>3.4803459236226422E-2</v>
      </c>
      <c r="I12" s="96">
        <f>'IVR E15 PB PAR'!G24</f>
        <v>1.3438348808987616E-2</v>
      </c>
      <c r="J12" s="96">
        <f>'IVR E15 PB PAR'!H24</f>
        <v>1.2352151958752743E-2</v>
      </c>
      <c r="K12" s="96">
        <f>'ROM E15 PB BAN'!G24</f>
        <v>2.381397086290625E-2</v>
      </c>
      <c r="L12" s="96">
        <f>'ROM E15 PB BAN'!H24</f>
        <v>1.9162766320638933E-2</v>
      </c>
      <c r="M12" s="96">
        <f>'ROM E15 PB PAR'!G24</f>
        <v>8.6404051644845145E-2</v>
      </c>
      <c r="N12" s="96">
        <f>'ROM E15 PB PAR'!H24</f>
        <v>8.8247816080699662E-2</v>
      </c>
      <c r="O12" s="96">
        <f>'STO E15 PB BAN'!G24</f>
        <v>8.8635340172466201E-2</v>
      </c>
      <c r="P12" s="96">
        <f>'STO E15 PB BAN'!H24</f>
        <v>7.8649003764615477E-2</v>
      </c>
      <c r="Q12" s="96">
        <f>'STO E15 PB PAR '!G24</f>
        <v>1.3479256348070963E-2</v>
      </c>
      <c r="R12" s="96">
        <f>'STO E15 PB PAR '!H24</f>
        <v>1.312329587104507E-2</v>
      </c>
      <c r="S12" s="60">
        <f t="shared" si="0"/>
        <v>4.8709156946250401E-2</v>
      </c>
      <c r="T12" s="60">
        <f t="shared" si="1"/>
        <v>4.2259697677216504E-2</v>
      </c>
      <c r="U12" s="60">
        <f t="shared" si="2"/>
        <v>3.6752968862542576E-2</v>
      </c>
      <c r="V12" s="60">
        <f t="shared" si="9"/>
        <v>3.5624399948827011E-2</v>
      </c>
      <c r="W12" s="60">
        <f t="shared" si="3"/>
        <v>6.0665345029958212E-2</v>
      </c>
      <c r="X12" s="60">
        <f t="shared" si="4"/>
        <v>4.8894995405606004E-2</v>
      </c>
      <c r="Y12" s="232">
        <f t="shared" si="5"/>
        <v>0</v>
      </c>
      <c r="Z12" s="232">
        <f t="shared" si="6"/>
        <v>0</v>
      </c>
      <c r="AA12" s="252">
        <f t="shared" si="7"/>
        <v>1.2352151958752743E-2</v>
      </c>
      <c r="AB12" s="252">
        <f t="shared" si="8"/>
        <v>8.8247816080699662E-2</v>
      </c>
    </row>
    <row r="13" spans="1:28" x14ac:dyDescent="0.25">
      <c r="A13" s="602"/>
      <c r="B13" s="203" t="s">
        <v>34</v>
      </c>
      <c r="C13" s="176">
        <f>'ISS E15 PB BAN'!G25</f>
        <v>3.0593757308331774E-3</v>
      </c>
      <c r="D13" s="96">
        <f>'ISS E15 PB BAN'!H25</f>
        <v>2.2095662777075436E-3</v>
      </c>
      <c r="E13" s="96">
        <f>'ISS E15 PB PAR'!G25</f>
        <v>1.2954243923862609E-2</v>
      </c>
      <c r="F13" s="96">
        <f>'ISS E15 PB PAR'!H25</f>
        <v>1.1064035223118614E-2</v>
      </c>
      <c r="G13" s="96">
        <f>'IVR E15 PB BAN'!G25</f>
        <v>9.9285352919552677E-3</v>
      </c>
      <c r="H13" s="96">
        <f>'IVR E15 PB BAN'!H25</f>
        <v>8.0302371583617395E-3</v>
      </c>
      <c r="I13" s="96">
        <f>'IVR E15 PB PAR'!G25</f>
        <v>2.0424520044922335E-2</v>
      </c>
      <c r="J13" s="96">
        <f>'IVR E15 PB PAR'!H25</f>
        <v>1.8773643910086762E-2</v>
      </c>
      <c r="K13" s="96">
        <f>'ROM E15 PB BAN'!G25</f>
        <v>2.9572904993151556E-3</v>
      </c>
      <c r="L13" s="96">
        <f>'ROM E15 PB BAN'!H25</f>
        <v>2.3796899352427443E-3</v>
      </c>
      <c r="M13" s="96">
        <f>'ROM E15 PB PAR'!G25</f>
        <v>1.7057863877754185E-2</v>
      </c>
      <c r="N13" s="96">
        <f>'ROM E15 PB PAR'!H25</f>
        <v>1.7421859340591105E-2</v>
      </c>
      <c r="O13" s="96">
        <f>'STO E15 PB BAN'!G25</f>
        <v>1.1402779368835205E-2</v>
      </c>
      <c r="P13" s="96">
        <f>'STO E15 PB BAN'!H25</f>
        <v>1.011805489505176E-2</v>
      </c>
      <c r="Q13" s="96">
        <f>'STO E15 PB PAR '!G25</f>
        <v>0</v>
      </c>
      <c r="R13" s="96">
        <f>'STO E15 PB PAR '!H25</f>
        <v>0</v>
      </c>
      <c r="S13" s="60">
        <f t="shared" si="0"/>
        <v>9.7230760921847414E-3</v>
      </c>
      <c r="T13" s="60">
        <f t="shared" si="1"/>
        <v>8.7496358425200333E-3</v>
      </c>
      <c r="U13" s="60">
        <f t="shared" si="2"/>
        <v>1.2609156961634782E-2</v>
      </c>
      <c r="V13" s="60">
        <f t="shared" si="9"/>
        <v>1.1814884618449119E-2</v>
      </c>
      <c r="W13" s="60">
        <f t="shared" si="3"/>
        <v>6.8369952227347024E-3</v>
      </c>
      <c r="X13" s="60">
        <f t="shared" si="4"/>
        <v>5.6843870665909471E-3</v>
      </c>
      <c r="Y13" s="232">
        <f t="shared" si="5"/>
        <v>0</v>
      </c>
      <c r="Z13" s="232">
        <f t="shared" si="6"/>
        <v>0</v>
      </c>
      <c r="AA13" s="252">
        <f t="shared" si="7"/>
        <v>0</v>
      </c>
      <c r="AB13" s="252">
        <f t="shared" si="8"/>
        <v>1.8773643910086762E-2</v>
      </c>
    </row>
    <row r="14" spans="1:28" x14ac:dyDescent="0.25">
      <c r="A14" s="602"/>
      <c r="B14" s="203" t="s">
        <v>35</v>
      </c>
      <c r="C14" s="176">
        <f>'ISS E15 PB BAN'!G26</f>
        <v>6.737451509076664E-2</v>
      </c>
      <c r="D14" s="96">
        <f>'ISS E15 PB BAN'!H26</f>
        <v>4.9123045429153217E-2</v>
      </c>
      <c r="E14" s="96">
        <f>'ISS E15 PB PAR'!G26</f>
        <v>1.4579055955821143E-2</v>
      </c>
      <c r="F14" s="96">
        <f>'ISS E15 PB PAR'!H26</f>
        <v>1.257675332703927E-2</v>
      </c>
      <c r="G14" s="96">
        <f>'IVR E15 PB BAN'!G26</f>
        <v>3.3788321061615792E-2</v>
      </c>
      <c r="H14" s="96">
        <f>'IVR E15 PB BAN'!H26</f>
        <v>2.7591977867788046E-2</v>
      </c>
      <c r="I14" s="96">
        <f>'IVR E15 PB PAR'!G26</f>
        <v>2.0857222092193078E-2</v>
      </c>
      <c r="J14" s="96">
        <f>'IVR E15 PB PAR'!H26</f>
        <v>1.9362322131489938E-2</v>
      </c>
      <c r="K14" s="96">
        <f>'ROM E15 PB BAN'!G26</f>
        <v>1.2856431328601673E-2</v>
      </c>
      <c r="L14" s="96">
        <f>'ROM E15 PB BAN'!H26</f>
        <v>1.0447576460490791E-2</v>
      </c>
      <c r="M14" s="96">
        <f>'ROM E15 PB PAR'!G26</f>
        <v>7.1984450525949279E-3</v>
      </c>
      <c r="N14" s="96">
        <f>'ROM E15 PB PAR'!H26</f>
        <v>7.4246100703955816E-3</v>
      </c>
      <c r="O14" s="96">
        <f>'STO E15 PB BAN'!G26</f>
        <v>8.4746356917412918E-2</v>
      </c>
      <c r="P14" s="96">
        <f>'STO E15 PB BAN'!H26</f>
        <v>7.5926436112455989E-2</v>
      </c>
      <c r="Q14" s="96">
        <f>'STO E15 PB PAR '!G26</f>
        <v>1.607564401070849E-2</v>
      </c>
      <c r="R14" s="96">
        <f>'STO E15 PB PAR '!H26</f>
        <v>1.5806128386570681E-2</v>
      </c>
      <c r="S14" s="60">
        <f t="shared" si="0"/>
        <v>3.2184498938714334E-2</v>
      </c>
      <c r="T14" s="60">
        <f t="shared" si="1"/>
        <v>2.7282356223172939E-2</v>
      </c>
      <c r="U14" s="60">
        <f t="shared" si="2"/>
        <v>1.4677591777829409E-2</v>
      </c>
      <c r="V14" s="60">
        <f t="shared" si="9"/>
        <v>1.3792453478873869E-2</v>
      </c>
      <c r="W14" s="60">
        <f t="shared" si="3"/>
        <v>4.9691406099599253E-2</v>
      </c>
      <c r="X14" s="60">
        <f t="shared" si="4"/>
        <v>4.0772258967472011E-2</v>
      </c>
      <c r="Y14" s="232">
        <f t="shared" si="5"/>
        <v>0</v>
      </c>
      <c r="Z14" s="232">
        <f t="shared" si="6"/>
        <v>0</v>
      </c>
      <c r="AA14" s="252">
        <f t="shared" si="7"/>
        <v>7.4246100703955816E-3</v>
      </c>
      <c r="AB14" s="252">
        <f t="shared" si="8"/>
        <v>7.5926436112455989E-2</v>
      </c>
    </row>
    <row r="15" spans="1:28" x14ac:dyDescent="0.25">
      <c r="A15" s="602"/>
      <c r="B15" s="203" t="s">
        <v>36</v>
      </c>
      <c r="C15" s="176">
        <f>'ISS E15 PB BAN'!G27</f>
        <v>3.7028274200872319E-2</v>
      </c>
      <c r="D15" s="96">
        <f>'ISS E15 PB BAN'!H27</f>
        <v>2.7574681775433863E-2</v>
      </c>
      <c r="E15" s="96">
        <f>'ISS E15 PB PAR'!G27</f>
        <v>2.5702255282517749E-2</v>
      </c>
      <c r="F15" s="96">
        <f>'ISS E15 PB PAR'!H27</f>
        <v>2.2641565056872506E-2</v>
      </c>
      <c r="G15" s="96">
        <f>'IVR E15 PB BAN'!G27</f>
        <v>1.3057732273949879E-2</v>
      </c>
      <c r="H15" s="96">
        <f>'IVR E15 PB BAN'!H27</f>
        <v>1.0890497151429429E-2</v>
      </c>
      <c r="I15" s="96">
        <f>'IVR E15 PB PAR'!G27</f>
        <v>1.1976995985705107E-2</v>
      </c>
      <c r="J15" s="96">
        <f>'IVR E15 PB PAR'!H27</f>
        <v>1.1354255827971704E-2</v>
      </c>
      <c r="K15" s="96">
        <f>'ROM E15 PB BAN'!G27</f>
        <v>2.7009919893745085E-2</v>
      </c>
      <c r="L15" s="96">
        <f>'ROM E15 PB BAN'!H27</f>
        <v>2.2415210037827954E-2</v>
      </c>
      <c r="M15" s="96">
        <f>'ROM E15 PB PAR'!G27</f>
        <v>2.1618992463728632E-2</v>
      </c>
      <c r="N15" s="96">
        <f>'ROM E15 PB PAR'!H27</f>
        <v>2.2771744120330794E-2</v>
      </c>
      <c r="O15" s="96">
        <f>'STO E15 PB BAN'!G27</f>
        <v>2.7803070104404096E-2</v>
      </c>
      <c r="P15" s="96">
        <f>'STO E15 PB BAN'!H27</f>
        <v>2.5440360700648208E-2</v>
      </c>
      <c r="Q15" s="96">
        <f>'STO E15 PB PAR '!G27</f>
        <v>5.2476740693855516E-2</v>
      </c>
      <c r="R15" s="96">
        <f>'STO E15 PB PAR '!H27</f>
        <v>5.2691879082100358E-2</v>
      </c>
      <c r="S15" s="60">
        <f t="shared" si="0"/>
        <v>2.70842476123473E-2</v>
      </c>
      <c r="T15" s="60">
        <f t="shared" si="1"/>
        <v>2.4472524219076853E-2</v>
      </c>
      <c r="U15" s="60">
        <f t="shared" si="2"/>
        <v>2.7943746106451749E-2</v>
      </c>
      <c r="V15" s="60">
        <f t="shared" si="9"/>
        <v>2.7364861021818843E-2</v>
      </c>
      <c r="W15" s="60">
        <f t="shared" si="3"/>
        <v>2.6224749118242845E-2</v>
      </c>
      <c r="X15" s="60">
        <f t="shared" si="4"/>
        <v>2.1580187416334863E-2</v>
      </c>
      <c r="Y15" s="232">
        <f t="shared" si="5"/>
        <v>0</v>
      </c>
      <c r="Z15" s="232">
        <f t="shared" si="6"/>
        <v>0</v>
      </c>
      <c r="AA15" s="252">
        <f t="shared" si="7"/>
        <v>1.0890497151429429E-2</v>
      </c>
      <c r="AB15" s="252">
        <f t="shared" si="8"/>
        <v>5.2691879082100358E-2</v>
      </c>
    </row>
    <row r="16" spans="1:28" x14ac:dyDescent="0.25">
      <c r="A16" s="603" t="s">
        <v>37</v>
      </c>
      <c r="B16" s="181" t="s">
        <v>38</v>
      </c>
      <c r="C16" s="174">
        <f>'ISS E15 PB BAN'!G28</f>
        <v>2.8646385486802019E-2</v>
      </c>
      <c r="D16" s="111">
        <f>'ISS E15 PB BAN'!H28</f>
        <v>2.0795275312099036E-2</v>
      </c>
      <c r="E16" s="111">
        <f>'ISS E15 PB PAR'!G28</f>
        <v>3.0949078925286193E-2</v>
      </c>
      <c r="F16" s="111">
        <f>'ISS E15 PB PAR'!H28</f>
        <v>2.664715781020011E-2</v>
      </c>
      <c r="G16" s="111">
        <f>'IVR E15 PB BAN'!G28</f>
        <v>4.5331500158325176E-2</v>
      </c>
      <c r="H16" s="111">
        <f>'IVR E15 PB BAN'!H28</f>
        <v>3.6966440130892071E-2</v>
      </c>
      <c r="I16" s="111">
        <f>'IVR E15 PB PAR'!G28</f>
        <v>3.2589348055692698E-2</v>
      </c>
      <c r="J16" s="111">
        <f>'IVR E15 PB PAR'!H28</f>
        <v>3.0211270092593119E-2</v>
      </c>
      <c r="K16" s="111">
        <f>'ROM E15 PB BAN'!G28</f>
        <v>3.4896027891918813E-2</v>
      </c>
      <c r="L16" s="111">
        <f>'ROM E15 PB BAN'!H28</f>
        <v>2.8419905020624036E-2</v>
      </c>
      <c r="M16" s="111">
        <f>'ROM E15 PB PAR'!G28</f>
        <v>2.7111272611653033E-2</v>
      </c>
      <c r="N16" s="111">
        <f>'ROM E15 PB PAR'!H28</f>
        <v>2.7869346055491583E-2</v>
      </c>
      <c r="O16" s="111">
        <f>'STO E15 PB BAN'!G28</f>
        <v>7.8303561905740046E-2</v>
      </c>
      <c r="P16" s="111">
        <f>'STO E15 PB BAN'!H28</f>
        <v>7.0131886018011166E-2</v>
      </c>
      <c r="Q16" s="111">
        <f>'STO E15 PB PAR '!G28</f>
        <v>2.5647401513267727E-2</v>
      </c>
      <c r="R16" s="111">
        <f>'STO E15 PB PAR '!H28</f>
        <v>2.5518457914382633E-2</v>
      </c>
      <c r="S16" s="62">
        <f t="shared" si="0"/>
        <v>3.7934322068585713E-2</v>
      </c>
      <c r="T16" s="62">
        <f t="shared" si="1"/>
        <v>3.3319967294286712E-2</v>
      </c>
      <c r="U16" s="62">
        <f t="shared" si="2"/>
        <v>2.9074275276474909E-2</v>
      </c>
      <c r="V16" s="62">
        <f t="shared" si="9"/>
        <v>2.7561557968166863E-2</v>
      </c>
      <c r="W16" s="62">
        <f t="shared" si="3"/>
        <v>4.6794368860696517E-2</v>
      </c>
      <c r="X16" s="62">
        <f t="shared" si="4"/>
        <v>3.9078376620406578E-2</v>
      </c>
      <c r="Y16" s="232">
        <f t="shared" si="5"/>
        <v>0</v>
      </c>
      <c r="Z16" s="232">
        <f t="shared" si="6"/>
        <v>0</v>
      </c>
      <c r="AA16" s="31">
        <f t="shared" si="7"/>
        <v>2.0795275312099036E-2</v>
      </c>
      <c r="AB16" s="31">
        <f t="shared" si="8"/>
        <v>7.0131886018011166E-2</v>
      </c>
    </row>
    <row r="17" spans="1:28" x14ac:dyDescent="0.25">
      <c r="A17" s="603"/>
      <c r="B17" s="181" t="s">
        <v>39</v>
      </c>
      <c r="C17" s="174">
        <f>'ISS E15 PB BAN'!G29</f>
        <v>6.5809337738882923E-2</v>
      </c>
      <c r="D17" s="111">
        <f>'ISS E15 PB BAN'!H29</f>
        <v>4.7853058053255237E-2</v>
      </c>
      <c r="E17" s="111">
        <f>'ISS E15 PB PAR'!G29</f>
        <v>2.9736732023742617E-2</v>
      </c>
      <c r="F17" s="111">
        <f>'ISS E15 PB PAR'!H29</f>
        <v>2.5618124240858842E-2</v>
      </c>
      <c r="G17" s="111">
        <f>'IVR E15 PB BAN'!G29</f>
        <v>5.5427459772666873E-2</v>
      </c>
      <c r="H17" s="111">
        <f>'IVR E15 PB BAN'!H29</f>
        <v>4.5262290630431377E-2</v>
      </c>
      <c r="I17" s="111">
        <f>'IVR E15 PB PAR'!G29</f>
        <v>4.5415030102294689E-2</v>
      </c>
      <c r="J17" s="111">
        <f>'IVR E15 PB PAR'!H29</f>
        <v>4.2132338879157523E-2</v>
      </c>
      <c r="K17" s="111">
        <f>'ROM E15 PB BAN'!G29</f>
        <v>1.5243016643838458E-2</v>
      </c>
      <c r="L17" s="111">
        <f>'ROM E15 PB BAN'!H29</f>
        <v>1.2425573209768117E-2</v>
      </c>
      <c r="M17" s="111">
        <f>'ROM E15 PB PAR'!G29</f>
        <v>2.318226724049828E-2</v>
      </c>
      <c r="N17" s="111">
        <f>'ROM E15 PB PAR'!H29</f>
        <v>2.3852805891694605E-2</v>
      </c>
      <c r="O17" s="111">
        <f>'STO E15 PB BAN'!G29</f>
        <v>4.3104708257127158E-2</v>
      </c>
      <c r="P17" s="111">
        <f>'STO E15 PB BAN'!H29</f>
        <v>3.8657669298925647E-2</v>
      </c>
      <c r="Q17" s="111">
        <f>'STO E15 PB PAR '!G29</f>
        <v>5.2773839779629975E-2</v>
      </c>
      <c r="R17" s="111">
        <f>'STO E15 PB PAR '!H29</f>
        <v>5.25538060195423E-2</v>
      </c>
      <c r="S17" s="62">
        <f t="shared" si="0"/>
        <v>4.1336548944835121E-2</v>
      </c>
      <c r="T17" s="62">
        <f t="shared" si="1"/>
        <v>3.6044458277954203E-2</v>
      </c>
      <c r="U17" s="62">
        <f t="shared" si="2"/>
        <v>3.7776967286541389E-2</v>
      </c>
      <c r="V17" s="62">
        <f t="shared" si="9"/>
        <v>3.6039268757813318E-2</v>
      </c>
      <c r="W17" s="62">
        <f t="shared" si="3"/>
        <v>4.4896130603128859E-2</v>
      </c>
      <c r="X17" s="62">
        <f t="shared" si="4"/>
        <v>3.6049647798095094E-2</v>
      </c>
      <c r="Y17" s="232">
        <f t="shared" si="5"/>
        <v>0</v>
      </c>
      <c r="Z17" s="232">
        <f t="shared" si="6"/>
        <v>0</v>
      </c>
      <c r="AA17" s="31">
        <f t="shared" si="7"/>
        <v>1.2425573209768117E-2</v>
      </c>
      <c r="AB17" s="31">
        <f t="shared" si="8"/>
        <v>5.25538060195423E-2</v>
      </c>
    </row>
    <row r="18" spans="1:28" x14ac:dyDescent="0.25">
      <c r="A18" s="603"/>
      <c r="B18" s="181" t="s">
        <v>40</v>
      </c>
      <c r="C18" s="174">
        <f>'ISS E15 PB BAN'!G30</f>
        <v>2.4177440152441002E-2</v>
      </c>
      <c r="D18" s="111">
        <f>'ISS E15 PB BAN'!H30</f>
        <v>1.7927348079514526E-2</v>
      </c>
      <c r="E18" s="111">
        <f>'ISS E15 PB PAR'!G30</f>
        <v>1.0564618006357312E-2</v>
      </c>
      <c r="F18" s="111">
        <f>'ISS E15 PB PAR'!H30</f>
        <v>9.2888343999907794E-3</v>
      </c>
      <c r="G18" s="111">
        <f>'IVR E15 PB BAN'!G30</f>
        <v>8.0113448176712797E-3</v>
      </c>
      <c r="H18" s="111">
        <f>'IVR E15 PB BAN'!H30</f>
        <v>6.6726177050892834E-3</v>
      </c>
      <c r="I18" s="111">
        <f>'IVR E15 PB PAR'!G30</f>
        <v>1.3753041207002705E-2</v>
      </c>
      <c r="J18" s="111">
        <f>'IVR E15 PB PAR'!H30</f>
        <v>1.3020041269658332E-2</v>
      </c>
      <c r="K18" s="111">
        <f>'ROM E15 PB BAN'!G30</f>
        <v>1.8023907358983939E-2</v>
      </c>
      <c r="L18" s="111">
        <f>'ROM E15 PB BAN'!H30</f>
        <v>1.4991080548161511E-2</v>
      </c>
      <c r="M18" s="111">
        <f>'ROM E15 PB PAR'!G30</f>
        <v>4.705438152231926E-3</v>
      </c>
      <c r="N18" s="111">
        <f>'ROM E15 PB PAR'!H30</f>
        <v>4.9398760961874549E-3</v>
      </c>
      <c r="O18" s="111">
        <f>'STO E15 PB BAN'!G30</f>
        <v>0</v>
      </c>
      <c r="P18" s="111">
        <f>'STO E15 PB BAN'!H30</f>
        <v>0</v>
      </c>
      <c r="Q18" s="111">
        <f>'STO E15 PB PAR '!G30</f>
        <v>2.9645321819667331E-3</v>
      </c>
      <c r="R18" s="111">
        <f>'STO E15 PB PAR '!H30</f>
        <v>3.0123062005988368E-3</v>
      </c>
      <c r="S18" s="62">
        <f t="shared" si="0"/>
        <v>1.0275040234581864E-2</v>
      </c>
      <c r="T18" s="62">
        <f t="shared" si="1"/>
        <v>8.7315130374000897E-3</v>
      </c>
      <c r="U18" s="62">
        <f t="shared" si="2"/>
        <v>7.9969073868896689E-3</v>
      </c>
      <c r="V18" s="62">
        <f t="shared" si="9"/>
        <v>7.5652644916088512E-3</v>
      </c>
      <c r="W18" s="62">
        <f t="shared" si="3"/>
        <v>1.2553173082274055E-2</v>
      </c>
      <c r="X18" s="62">
        <f t="shared" si="4"/>
        <v>9.89776158319133E-3</v>
      </c>
      <c r="Y18" s="232">
        <f t="shared" si="5"/>
        <v>0</v>
      </c>
      <c r="Z18" s="232">
        <f t="shared" si="6"/>
        <v>0</v>
      </c>
      <c r="AA18" s="31">
        <f t="shared" si="7"/>
        <v>0</v>
      </c>
      <c r="AB18" s="31">
        <f t="shared" si="8"/>
        <v>1.7927348079514526E-2</v>
      </c>
    </row>
    <row r="19" spans="1:28" x14ac:dyDescent="0.25">
      <c r="A19" s="602" t="s">
        <v>41</v>
      </c>
      <c r="B19" s="203" t="s">
        <v>42</v>
      </c>
      <c r="C19" s="176">
        <f>'ISS E15 PB BAN'!G31</f>
        <v>0</v>
      </c>
      <c r="D19" s="96">
        <f>'ISS E15 PB BAN'!H31</f>
        <v>0</v>
      </c>
      <c r="E19" s="96">
        <f>'ISS E15 PB PAR'!G31</f>
        <v>4.6339705947429895E-3</v>
      </c>
      <c r="F19" s="96">
        <f>'ISS E15 PB PAR'!H31</f>
        <v>5.039680532748103E-3</v>
      </c>
      <c r="G19" s="96">
        <f>'IVR E15 PB BAN'!G31</f>
        <v>4.1719593377276152E-3</v>
      </c>
      <c r="H19" s="96">
        <f>'IVR E15 PB BAN'!H31</f>
        <v>4.2918141437901011E-3</v>
      </c>
      <c r="I19" s="96">
        <f>'IVR E15 PB PAR'!G31</f>
        <v>6.3430186474914142E-4</v>
      </c>
      <c r="J19" s="96">
        <f>'IVR E15 PB PAR'!H31</f>
        <v>7.4280291587545575E-4</v>
      </c>
      <c r="K19" s="96">
        <f>'ROM E15 PB BAN'!G31</f>
        <v>2.7601377993608117E-3</v>
      </c>
      <c r="L19" s="96">
        <f>'ROM E15 PB BAN'!H31</f>
        <v>2.845763284892785E-3</v>
      </c>
      <c r="M19" s="96">
        <f>'ROM E15 PB PAR'!G31</f>
        <v>2.2923929459591451E-3</v>
      </c>
      <c r="N19" s="96">
        <f>'ROM E15 PB PAR'!H31</f>
        <v>2.9720464683049052E-3</v>
      </c>
      <c r="O19" s="96">
        <f>'STO E15 PB BAN'!G31</f>
        <v>1.4059296625334292E-2</v>
      </c>
      <c r="P19" s="96">
        <f>'STO E15 PB BAN'!H31</f>
        <v>1.585541780004545E-2</v>
      </c>
      <c r="Q19" s="96">
        <f>'STO E15 PB PAR '!G31</f>
        <v>3.2939246466297031E-3</v>
      </c>
      <c r="R19" s="96">
        <f>'STO E15 PB PAR '!H31</f>
        <v>4.129051211254892E-3</v>
      </c>
      <c r="S19" s="60">
        <f t="shared" si="0"/>
        <v>3.9807479768129619E-3</v>
      </c>
      <c r="T19" s="60">
        <f t="shared" si="1"/>
        <v>4.484572044613961E-3</v>
      </c>
      <c r="U19" s="60">
        <f t="shared" si="2"/>
        <v>2.7136475130202448E-3</v>
      </c>
      <c r="V19" s="60">
        <f t="shared" si="9"/>
        <v>3.220895282045839E-3</v>
      </c>
      <c r="W19" s="60">
        <f t="shared" si="3"/>
        <v>5.2478484406056798E-3</v>
      </c>
      <c r="X19" s="60">
        <f t="shared" si="4"/>
        <v>5.7482488071820843E-3</v>
      </c>
      <c r="Y19" s="232">
        <f t="shared" si="5"/>
        <v>0</v>
      </c>
      <c r="Z19" s="232">
        <f t="shared" si="6"/>
        <v>0</v>
      </c>
      <c r="AA19" s="252">
        <f t="shared" si="7"/>
        <v>0</v>
      </c>
      <c r="AB19" s="252">
        <f t="shared" si="8"/>
        <v>1.585541780004545E-2</v>
      </c>
    </row>
    <row r="20" spans="1:28" x14ac:dyDescent="0.25">
      <c r="A20" s="602"/>
      <c r="B20" s="203" t="s">
        <v>43</v>
      </c>
      <c r="C20" s="176">
        <f>'ISS E15 PB BAN'!G32</f>
        <v>4.9025540600427546E-3</v>
      </c>
      <c r="D20" s="96">
        <f>'ISS E15 PB BAN'!H32</f>
        <v>4.5036581434452503E-3</v>
      </c>
      <c r="E20" s="96">
        <f>'ISS E15 PB PAR'!G32</f>
        <v>5.0673094665757154E-3</v>
      </c>
      <c r="F20" s="96">
        <f>'ISS E15 PB PAR'!H32</f>
        <v>5.5109587663510371E-3</v>
      </c>
      <c r="G20" s="96">
        <f>'IVR E15 PB BAN'!G32</f>
        <v>1.1368930413356102E-2</v>
      </c>
      <c r="H20" s="96">
        <f>'IVR E15 PB BAN'!H32</f>
        <v>1.1695544562614058E-2</v>
      </c>
      <c r="I20" s="96">
        <f>'IVR E15 PB PAR'!G32</f>
        <v>1.3704853933556643E-2</v>
      </c>
      <c r="J20" s="96">
        <f>'IVR E15 PB PAR'!H32</f>
        <v>1.6049149512620701E-2</v>
      </c>
      <c r="K20" s="96">
        <f>'ROM E15 PB BAN'!G32</f>
        <v>1.3831818370481063E-2</v>
      </c>
      <c r="L20" s="96">
        <f>'ROM E15 PB BAN'!H32</f>
        <v>1.4260911499105576E-2</v>
      </c>
      <c r="M20" s="96">
        <f>'ROM E15 PB PAR'!G32</f>
        <v>4.2110004580054464E-3</v>
      </c>
      <c r="N20" s="96">
        <f>'ROM E15 PB PAR'!H32</f>
        <v>5.4594868045229408E-3</v>
      </c>
      <c r="O20" s="96">
        <f>'STO E15 PB BAN'!G32</f>
        <v>1.8392678677943211E-2</v>
      </c>
      <c r="P20" s="96">
        <f>'STO E15 PB BAN'!H32</f>
        <v>2.0742403597579919E-2</v>
      </c>
      <c r="Q20" s="96">
        <f>'STO E15 PB PAR '!G32</f>
        <v>1.6082102686486197E-3</v>
      </c>
      <c r="R20" s="96">
        <f>'STO E15 PB PAR '!H32</f>
        <v>2.0159485325538587E-3</v>
      </c>
      <c r="S20" s="60">
        <f t="shared" si="0"/>
        <v>9.1359194560761952E-3</v>
      </c>
      <c r="T20" s="60">
        <f t="shared" si="1"/>
        <v>1.0029757677349167E-2</v>
      </c>
      <c r="U20" s="60">
        <f t="shared" si="2"/>
        <v>6.1478435316966061E-3</v>
      </c>
      <c r="V20" s="60">
        <f t="shared" si="9"/>
        <v>7.2588859040121348E-3</v>
      </c>
      <c r="W20" s="60">
        <f t="shared" si="3"/>
        <v>1.2123995380455783E-2</v>
      </c>
      <c r="X20" s="60">
        <f t="shared" si="4"/>
        <v>1.2800629450686201E-2</v>
      </c>
      <c r="Y20" s="232">
        <f t="shared" si="5"/>
        <v>0</v>
      </c>
      <c r="Z20" s="232">
        <f t="shared" si="6"/>
        <v>0</v>
      </c>
      <c r="AA20" s="252">
        <f t="shared" si="7"/>
        <v>2.0159485325538587E-3</v>
      </c>
      <c r="AB20" s="252">
        <f t="shared" si="8"/>
        <v>2.0742403597579919E-2</v>
      </c>
    </row>
    <row r="21" spans="1:28" ht="25.5" x14ac:dyDescent="0.25">
      <c r="A21" s="602"/>
      <c r="B21" s="203" t="s">
        <v>44</v>
      </c>
      <c r="C21" s="176">
        <f>'ISS E15 PB BAN'!G33</f>
        <v>0</v>
      </c>
      <c r="D21" s="96">
        <f>'ISS E15 PB BAN'!H33</f>
        <v>0</v>
      </c>
      <c r="E21" s="242">
        <f>'ISS E15 PB PAR'!G33</f>
        <v>0</v>
      </c>
      <c r="F21" s="242">
        <f>'ISS E15 PB PAR'!H33</f>
        <v>0</v>
      </c>
      <c r="G21" s="242">
        <f>'IVR E15 PB BAN'!G33</f>
        <v>0</v>
      </c>
      <c r="H21" s="242">
        <f>'IVR E15 PB BAN'!H33</f>
        <v>0</v>
      </c>
      <c r="I21" s="242">
        <f>'IVR E15 PB PAR'!G33</f>
        <v>0</v>
      </c>
      <c r="J21" s="242">
        <f>'IVR E15 PB PAR'!H33</f>
        <v>0</v>
      </c>
      <c r="K21" s="242">
        <f>'ROM E15 PB BAN'!G33</f>
        <v>0</v>
      </c>
      <c r="L21" s="242">
        <f>'ROM E15 PB BAN'!H33</f>
        <v>0</v>
      </c>
      <c r="M21" s="242">
        <f>'ROM E15 PB PAR'!G33</f>
        <v>7.69808735412906E-4</v>
      </c>
      <c r="N21" s="242">
        <f>'ROM E15 PB PAR'!H33</f>
        <v>9.9804326190548612E-4</v>
      </c>
      <c r="O21" s="242">
        <f>'STO E15 PB BAN'!G33</f>
        <v>0</v>
      </c>
      <c r="P21" s="242">
        <f>'STO E15 PB BAN'!H33</f>
        <v>0</v>
      </c>
      <c r="Q21" s="242">
        <f>'STO E15 PB PAR '!G33</f>
        <v>0</v>
      </c>
      <c r="R21" s="242">
        <f>'STO E15 PB PAR '!H33</f>
        <v>0</v>
      </c>
      <c r="S21" s="60">
        <f t="shared" si="0"/>
        <v>9.622609192661325E-5</v>
      </c>
      <c r="T21" s="60">
        <f t="shared" si="1"/>
        <v>1.2475540773818577E-4</v>
      </c>
      <c r="U21" s="60">
        <f t="shared" si="2"/>
        <v>1.924521838532265E-4</v>
      </c>
      <c r="V21" s="60">
        <f t="shared" si="9"/>
        <v>2.4951081547637153E-4</v>
      </c>
      <c r="W21" s="60">
        <f t="shared" si="3"/>
        <v>0</v>
      </c>
      <c r="X21" s="60">
        <f t="shared" si="4"/>
        <v>0</v>
      </c>
      <c r="Y21" s="232">
        <f t="shared" si="5"/>
        <v>0</v>
      </c>
      <c r="Z21" s="232">
        <f t="shared" si="6"/>
        <v>0</v>
      </c>
      <c r="AA21" s="252">
        <f t="shared" si="7"/>
        <v>0</v>
      </c>
      <c r="AB21" s="252">
        <f t="shared" si="8"/>
        <v>9.9804326190548612E-4</v>
      </c>
    </row>
    <row r="22" spans="1:28" x14ac:dyDescent="0.25">
      <c r="A22" s="602"/>
      <c r="B22" s="203" t="s">
        <v>120</v>
      </c>
      <c r="C22" s="176">
        <f>'ISS E15 PB BAN'!G34</f>
        <v>0</v>
      </c>
      <c r="D22" s="96">
        <f>'ISS E15 PB BAN'!H34</f>
        <v>0</v>
      </c>
      <c r="E22" s="96">
        <f>'ISS E15 PB PAR'!G34</f>
        <v>0</v>
      </c>
      <c r="F22" s="96">
        <f>'ISS E15 PB PAR'!H34</f>
        <v>0</v>
      </c>
      <c r="G22" s="96">
        <f>'IVR E15 PB BAN'!G34</f>
        <v>0</v>
      </c>
      <c r="H22" s="96">
        <f>'IVR E15 PB BAN'!H34</f>
        <v>0</v>
      </c>
      <c r="I22" s="96">
        <f>'IVR E15 PB PAR'!G34</f>
        <v>6.3430186474914142E-4</v>
      </c>
      <c r="J22" s="96">
        <f>'IVR E15 PB PAR'!H34</f>
        <v>7.4280291587545575E-4</v>
      </c>
      <c r="K22" s="96">
        <f>'ROM E15 PB BAN'!G34</f>
        <v>0</v>
      </c>
      <c r="L22" s="96">
        <f>'ROM E15 PB BAN'!H34</f>
        <v>0</v>
      </c>
      <c r="M22" s="96">
        <f>'ROM E15 PB PAR'!G34</f>
        <v>1.0858703428227529E-3</v>
      </c>
      <c r="N22" s="96">
        <f>'ROM E15 PB PAR'!H34</f>
        <v>1.4078114849865339E-3</v>
      </c>
      <c r="O22" s="96">
        <f>'STO E15 PB BAN'!G34</f>
        <v>0</v>
      </c>
      <c r="P22" s="96">
        <f>'STO E15 PB BAN'!H34</f>
        <v>0</v>
      </c>
      <c r="Q22" s="96">
        <f>'STO E15 PB PAR '!G34</f>
        <v>0</v>
      </c>
      <c r="R22" s="96">
        <f>'STO E15 PB PAR '!H34</f>
        <v>0</v>
      </c>
      <c r="S22" s="60">
        <f t="shared" si="0"/>
        <v>2.150215259464868E-4</v>
      </c>
      <c r="T22" s="60">
        <f t="shared" si="1"/>
        <v>2.6882680010774872E-4</v>
      </c>
      <c r="U22" s="60">
        <f t="shared" si="2"/>
        <v>4.300430518929736E-4</v>
      </c>
      <c r="V22" s="60">
        <f t="shared" si="9"/>
        <v>5.3765360021549745E-4</v>
      </c>
      <c r="W22" s="60">
        <f t="shared" si="3"/>
        <v>0</v>
      </c>
      <c r="X22" s="60">
        <f t="shared" si="4"/>
        <v>0</v>
      </c>
      <c r="Y22" s="232">
        <f t="shared" si="5"/>
        <v>0</v>
      </c>
      <c r="Z22" s="232">
        <f t="shared" si="6"/>
        <v>0</v>
      </c>
      <c r="AA22" s="252">
        <f t="shared" si="7"/>
        <v>0</v>
      </c>
      <c r="AB22" s="252">
        <f t="shared" si="8"/>
        <v>1.4078114849865339E-3</v>
      </c>
    </row>
    <row r="23" spans="1:28" x14ac:dyDescent="0.25">
      <c r="A23" s="204" t="s">
        <v>45</v>
      </c>
      <c r="B23" s="181" t="s">
        <v>46</v>
      </c>
      <c r="C23" s="174">
        <f>'ISS E15 PB BAN'!G35</f>
        <v>4.5958884974934416E-3</v>
      </c>
      <c r="D23" s="111">
        <f>'ISS E15 PB BAN'!H35</f>
        <v>3.3514434135864723E-3</v>
      </c>
      <c r="E23" s="111">
        <f>'ISS E15 PB PAR'!G35</f>
        <v>3.6615047295723298E-2</v>
      </c>
      <c r="F23" s="111">
        <f>'ISS E15 PB PAR'!H35</f>
        <v>3.1610304723558684E-2</v>
      </c>
      <c r="G23" s="111">
        <f>'IVR E15 PB BAN'!G35</f>
        <v>2.8076785889769289E-2</v>
      </c>
      <c r="H23" s="111">
        <f>'IVR E15 PB BAN'!H35</f>
        <v>2.2928079103186443E-2</v>
      </c>
      <c r="I23" s="111">
        <f>'IVR E15 PB PAR'!G35</f>
        <v>1.0021969463036427E-2</v>
      </c>
      <c r="J23" s="111">
        <f>'IVR E15 PB PAR'!H35</f>
        <v>9.316441839654627E-3</v>
      </c>
      <c r="K23" s="111">
        <f>'ROM E15 PB BAN'!G35</f>
        <v>3.3713111692192752E-2</v>
      </c>
      <c r="L23" s="111">
        <f>'ROM E15 PB BAN'!H35</f>
        <v>2.7592197770056948E-2</v>
      </c>
      <c r="M23" s="111">
        <f>'ROM E15 PB PAR'!G35</f>
        <v>5.6676280995802256E-2</v>
      </c>
      <c r="N23" s="111">
        <f>'ROM E15 PB PAR'!H35</f>
        <v>5.8329386189174805E-2</v>
      </c>
      <c r="O23" s="111">
        <f>'STO E15 PB BAN'!G35</f>
        <v>1.301347812175342E-2</v>
      </c>
      <c r="P23" s="111">
        <f>'STO E15 PB BAN'!H35</f>
        <v>1.1650027683581031E-2</v>
      </c>
      <c r="Q23" s="111">
        <f>'STO E15 PB PAR '!G35</f>
        <v>5.071998088231968E-2</v>
      </c>
      <c r="R23" s="111">
        <f>'STO E15 PB PAR '!H35</f>
        <v>5.0470233977514573E-2</v>
      </c>
      <c r="S23" s="62">
        <f t="shared" si="0"/>
        <v>2.917906785476132E-2</v>
      </c>
      <c r="T23" s="62">
        <f t="shared" si="1"/>
        <v>2.6906014337539197E-2</v>
      </c>
      <c r="U23" s="62">
        <f t="shared" si="2"/>
        <v>3.8508319659220414E-2</v>
      </c>
      <c r="V23" s="62">
        <f>AVERAGE(F23,J23,N23,R23)</f>
        <v>3.7431591682475673E-2</v>
      </c>
      <c r="W23" s="62">
        <f>AVERAGE(C23,G23,K23,O23)</f>
        <v>1.9849816050302227E-2</v>
      </c>
      <c r="X23" s="62">
        <f t="shared" si="4"/>
        <v>1.6380436992602724E-2</v>
      </c>
      <c r="Y23" s="232">
        <f t="shared" si="5"/>
        <v>0</v>
      </c>
      <c r="Z23" s="232">
        <f t="shared" si="6"/>
        <v>0</v>
      </c>
      <c r="AA23" s="31">
        <f t="shared" si="7"/>
        <v>3.3514434135864723E-3</v>
      </c>
      <c r="AB23" s="31">
        <f t="shared" si="8"/>
        <v>5.8329386189174805E-2</v>
      </c>
    </row>
    <row r="24" spans="1:28" ht="25.5" x14ac:dyDescent="0.25">
      <c r="A24" s="602" t="s">
        <v>47</v>
      </c>
      <c r="B24" s="203" t="s">
        <v>48</v>
      </c>
      <c r="C24" s="176">
        <f>'ISS E15 PB BAN'!G36</f>
        <v>6.9527543936439258E-3</v>
      </c>
      <c r="D24" s="96">
        <f>'ISS E15 PB BAN'!H36</f>
        <v>5.3207153612056446E-3</v>
      </c>
      <c r="E24" s="96">
        <f>'ISS E15 PB PAR'!G36</f>
        <v>9.5961598995388545E-2</v>
      </c>
      <c r="F24" s="96">
        <f>'ISS E15 PB PAR'!H36</f>
        <v>8.5382260853710687E-2</v>
      </c>
      <c r="G24" s="96">
        <f>'IVR E15 PB BAN'!G36</f>
        <v>8.6273571342779538E-3</v>
      </c>
      <c r="H24" s="96">
        <f>'IVR E15 PB BAN'!H36</f>
        <v>7.3960116876796269E-3</v>
      </c>
      <c r="I24" s="96">
        <f>'IVR E15 PB PAR'!G36</f>
        <v>6.2198952467680126E-2</v>
      </c>
      <c r="J24" s="96">
        <f>'IVR E15 PB PAR'!H36</f>
        <v>5.9797753433083696E-2</v>
      </c>
      <c r="K24" s="96">
        <f>'ROM E15 PB BAN'!G36</f>
        <v>6.4883991200763699E-2</v>
      </c>
      <c r="L24" s="96">
        <f>'ROM E15 PB BAN'!H36</f>
        <v>5.4831301796513049E-2</v>
      </c>
      <c r="M24" s="96">
        <f>'ROM E15 PB PAR'!G36</f>
        <v>2.1296306810654496E-2</v>
      </c>
      <c r="N24" s="96">
        <f>'ROM E15 PB PAR'!H36</f>
        <v>2.2715549270034788E-2</v>
      </c>
      <c r="O24" s="96">
        <f>'STO E15 PB BAN'!G36</f>
        <v>8.4638219876674425E-3</v>
      </c>
      <c r="P24" s="96">
        <f>'STO E15 PB BAN'!H36</f>
        <v>7.9476684291102679E-3</v>
      </c>
      <c r="Q24" s="96">
        <f>'STO E15 PB PAR '!G36</f>
        <v>5.4259335208502187E-2</v>
      </c>
      <c r="R24" s="96">
        <f>'STO E15 PB PAR '!H36</f>
        <v>5.594188803310262E-2</v>
      </c>
      <c r="S24" s="60">
        <f t="shared" si="0"/>
        <v>4.0330514774822294E-2</v>
      </c>
      <c r="T24" s="60">
        <f t="shared" si="1"/>
        <v>3.741664360805505E-2</v>
      </c>
      <c r="U24" s="60">
        <f t="shared" si="2"/>
        <v>5.842904837055634E-2</v>
      </c>
      <c r="V24" s="60">
        <f t="shared" si="9"/>
        <v>5.5959362897482948E-2</v>
      </c>
      <c r="W24" s="60">
        <f t="shared" si="3"/>
        <v>2.2231981179088256E-2</v>
      </c>
      <c r="X24" s="60">
        <f t="shared" si="4"/>
        <v>1.8873924318627146E-2</v>
      </c>
      <c r="Y24" s="232">
        <f t="shared" si="5"/>
        <v>0</v>
      </c>
      <c r="Z24" s="232">
        <f t="shared" si="6"/>
        <v>0</v>
      </c>
      <c r="AA24" s="252">
        <f t="shared" si="7"/>
        <v>5.3207153612056446E-3</v>
      </c>
      <c r="AB24" s="252">
        <f t="shared" si="8"/>
        <v>8.5382260853710687E-2</v>
      </c>
    </row>
    <row r="25" spans="1:28" ht="25.5" x14ac:dyDescent="0.25">
      <c r="A25" s="602"/>
      <c r="B25" s="203" t="s">
        <v>49</v>
      </c>
      <c r="C25" s="176">
        <f>'ISS E15 PB BAN'!G37</f>
        <v>2.4008182601597775E-2</v>
      </c>
      <c r="D25" s="96">
        <f>'ISS E15 PB BAN'!H37</f>
        <v>1.7878432148351827E-2</v>
      </c>
      <c r="E25" s="96">
        <f>'ISS E15 PB PAR'!G37</f>
        <v>5.6567004292476165E-2</v>
      </c>
      <c r="F25" s="96">
        <f>'ISS E15 PB PAR'!H37</f>
        <v>4.9853341728904946E-2</v>
      </c>
      <c r="G25" s="96">
        <f>'IVR E15 PB BAN'!G37</f>
        <v>7.8708994689737258E-2</v>
      </c>
      <c r="H25" s="96">
        <f>'IVR E15 PB BAN'!H37</f>
        <v>6.5959335361338634E-2</v>
      </c>
      <c r="I25" s="96">
        <f>'IVR E15 PB PAR'!G37</f>
        <v>6.7050132465831275E-2</v>
      </c>
      <c r="J25" s="96">
        <f>'IVR E15 PB PAR'!H37</f>
        <v>6.3678032061380396E-2</v>
      </c>
      <c r="K25" s="96">
        <f>'ROM E15 PB BAN'!G37</f>
        <v>2.1904702610716812E-2</v>
      </c>
      <c r="L25" s="96">
        <f>'ROM E15 PB BAN'!H37</f>
        <v>1.8233718974297371E-2</v>
      </c>
      <c r="M25" s="96">
        <f>'ROM E15 PB PAR'!G37</f>
        <v>1.4563437539034566E-2</v>
      </c>
      <c r="N25" s="96">
        <f>'ROM E15 PB PAR'!H37</f>
        <v>1.5296880001146127E-2</v>
      </c>
      <c r="O25" s="96">
        <f>'STO E15 PB BAN'!G37</f>
        <v>6.2205462352508983E-2</v>
      </c>
      <c r="P25" s="96">
        <f>'STO E15 PB BAN'!H37</f>
        <v>5.7156940758119931E-2</v>
      </c>
      <c r="Q25" s="96">
        <f>'STO E15 PB PAR '!G37</f>
        <v>2.4200658139061752E-2</v>
      </c>
      <c r="R25" s="96">
        <f>'STO E15 PB PAR '!H37</f>
        <v>2.4599961114496634E-2</v>
      </c>
      <c r="S25" s="60">
        <f t="shared" si="0"/>
        <v>4.3651071836370577E-2</v>
      </c>
      <c r="T25" s="60">
        <f t="shared" si="1"/>
        <v>3.9082080268504481E-2</v>
      </c>
      <c r="U25" s="60">
        <f t="shared" si="2"/>
        <v>4.0595308109100933E-2</v>
      </c>
      <c r="V25" s="60">
        <f t="shared" si="9"/>
        <v>3.8357053726482029E-2</v>
      </c>
      <c r="W25" s="60">
        <f t="shared" si="3"/>
        <v>4.6706835563640206E-2</v>
      </c>
      <c r="X25" s="60">
        <f t="shared" si="4"/>
        <v>3.9807106810526946E-2</v>
      </c>
      <c r="Y25" s="232">
        <f t="shared" si="5"/>
        <v>0</v>
      </c>
      <c r="Z25" s="232">
        <f t="shared" si="6"/>
        <v>0</v>
      </c>
      <c r="AA25" s="252">
        <f t="shared" si="7"/>
        <v>1.5296880001146127E-2</v>
      </c>
      <c r="AB25" s="252">
        <f t="shared" si="8"/>
        <v>6.5959335361338634E-2</v>
      </c>
    </row>
    <row r="26" spans="1:28" x14ac:dyDescent="0.25">
      <c r="A26" s="603" t="s">
        <v>50</v>
      </c>
      <c r="B26" s="181" t="s">
        <v>51</v>
      </c>
      <c r="C26" s="174">
        <f>'ISS E15 PB BAN'!G38</f>
        <v>8.1836025832706188E-2</v>
      </c>
      <c r="D26" s="111">
        <f>'ISS E15 PB BAN'!H38</f>
        <v>6.8129807717963772E-2</v>
      </c>
      <c r="E26" s="111">
        <f>'ISS E15 PB PAR'!G38</f>
        <v>0.11094226573608743</v>
      </c>
      <c r="F26" s="111">
        <f>'ISS E15 PB PAR'!H38</f>
        <v>0.10929856705213759</v>
      </c>
      <c r="G26" s="111">
        <f>'IVR E15 PB BAN'!G38</f>
        <v>8.179633559113525E-2</v>
      </c>
      <c r="H26" s="111">
        <f>'IVR E15 PB BAN'!H38</f>
        <v>7.7524821274637501E-2</v>
      </c>
      <c r="I26" s="111">
        <f>'IVR E15 PB PAR'!G38</f>
        <v>0.12264251140268234</v>
      </c>
      <c r="J26" s="111">
        <f>'IVR E15 PB PAR'!H38</f>
        <v>0.13147097900464055</v>
      </c>
      <c r="K26" s="111">
        <f>'ROM E15 PB BAN'!G38</f>
        <v>8.3914414975304025E-2</v>
      </c>
      <c r="L26" s="111">
        <f>'ROM E15 PB BAN'!H38</f>
        <v>7.8887294695536986E-2</v>
      </c>
      <c r="M26" s="111">
        <f>'ROM E15 PB PAR'!G38</f>
        <v>4.6565148435400418E-2</v>
      </c>
      <c r="N26" s="111">
        <f>'ROM E15 PB PAR'!H38</f>
        <v>5.4720081437779372E-2</v>
      </c>
      <c r="O26" s="111">
        <f>'STO E15 PB BAN'!G38</f>
        <v>0.10410338098605178</v>
      </c>
      <c r="P26" s="111">
        <f>'STO E15 PB BAN'!H38</f>
        <v>0.10763179921364072</v>
      </c>
      <c r="Q26" s="111">
        <f>'STO E15 PB PAR '!G38</f>
        <v>7.7097212758468092E-2</v>
      </c>
      <c r="R26" s="111">
        <f>'STO E15 PB PAR '!H38</f>
        <v>8.9429706773558021E-2</v>
      </c>
      <c r="S26" s="62">
        <f t="shared" si="0"/>
        <v>8.861216196472943E-2</v>
      </c>
      <c r="T26" s="62">
        <f t="shared" si="1"/>
        <v>8.9636632146236822E-2</v>
      </c>
      <c r="U26" s="62">
        <f t="shared" si="2"/>
        <v>8.9311784583159567E-2</v>
      </c>
      <c r="V26" s="62">
        <f t="shared" si="9"/>
        <v>9.6229833567028883E-2</v>
      </c>
      <c r="W26" s="62">
        <f t="shared" si="3"/>
        <v>8.7912539346299307E-2</v>
      </c>
      <c r="X26" s="62">
        <f t="shared" si="4"/>
        <v>8.3043430725444747E-2</v>
      </c>
      <c r="Y26" s="232">
        <f t="shared" si="5"/>
        <v>0</v>
      </c>
      <c r="Z26" s="232">
        <f t="shared" si="6"/>
        <v>0</v>
      </c>
      <c r="AA26" s="31">
        <f t="shared" si="7"/>
        <v>5.4720081437779372E-2</v>
      </c>
      <c r="AB26" s="31">
        <f t="shared" si="8"/>
        <v>0.13147097900464055</v>
      </c>
    </row>
    <row r="27" spans="1:28" x14ac:dyDescent="0.25">
      <c r="A27" s="603"/>
      <c r="B27" s="181" t="s">
        <v>52</v>
      </c>
      <c r="C27" s="174">
        <f>'ISS E15 PB BAN'!G39</f>
        <v>1.3967387891897212E-2</v>
      </c>
      <c r="D27" s="111">
        <f>'ISS E15 PB BAN'!H39</f>
        <v>1.0382153172507149E-2</v>
      </c>
      <c r="E27" s="111">
        <f>'ISS E15 PB PAR'!G39</f>
        <v>1.7578195122725074E-2</v>
      </c>
      <c r="F27" s="111">
        <f>'ISS E15 PB PAR'!H39</f>
        <v>1.5483589445681867E-2</v>
      </c>
      <c r="G27" s="111">
        <f>'IVR E15 PB BAN'!G39</f>
        <v>3.7364286208239471E-2</v>
      </c>
      <c r="H27" s="111">
        <f>'IVR E15 PB BAN'!H39</f>
        <v>3.1629971818291455E-2</v>
      </c>
      <c r="I27" s="111">
        <f>'IVR E15 PB PAR'!G39</f>
        <v>3.7156321481886516E-2</v>
      </c>
      <c r="J27" s="111">
        <f>'IVR E15 PB PAR'!H39</f>
        <v>3.5605020887605809E-2</v>
      </c>
      <c r="K27" s="111">
        <f>'ROM E15 PB BAN'!G39</f>
        <v>3.1118997219109285E-2</v>
      </c>
      <c r="L27" s="111">
        <f>'ROM E15 PB BAN'!H39</f>
        <v>2.6145068526650137E-2</v>
      </c>
      <c r="M27" s="111">
        <f>'ROM E15 PB PAR'!G39</f>
        <v>1.1812092857764711E-2</v>
      </c>
      <c r="N27" s="111">
        <f>'ROM E15 PB PAR'!H39</f>
        <v>1.2404991165484389E-2</v>
      </c>
      <c r="O27" s="111">
        <f>'STO E15 PB BAN'!G39</f>
        <v>3.8211877496039923E-2</v>
      </c>
      <c r="P27" s="111">
        <f>'STO E15 PB BAN'!H39</f>
        <v>3.5289333212174583E-2</v>
      </c>
      <c r="Q27" s="111">
        <f>'STO E15 PB PAR '!G39</f>
        <v>3.8797265396675711E-2</v>
      </c>
      <c r="R27" s="111">
        <f>'STO E15 PB PAR '!H39</f>
        <v>4.0222470438163176E-2</v>
      </c>
      <c r="S27" s="62">
        <f t="shared" si="0"/>
        <v>2.8250802959292241E-2</v>
      </c>
      <c r="T27" s="62">
        <f t="shared" si="1"/>
        <v>2.589532483331982E-2</v>
      </c>
      <c r="U27" s="62">
        <f t="shared" si="2"/>
        <v>2.6335968714763007E-2</v>
      </c>
      <c r="V27" s="62">
        <f t="shared" si="9"/>
        <v>2.5929017984233811E-2</v>
      </c>
      <c r="W27" s="62">
        <f t="shared" si="3"/>
        <v>3.0165637203821472E-2</v>
      </c>
      <c r="X27" s="62">
        <f t="shared" si="4"/>
        <v>2.5861631682405829E-2</v>
      </c>
      <c r="Y27" s="232">
        <f t="shared" si="5"/>
        <v>0</v>
      </c>
      <c r="Z27" s="232">
        <f t="shared" si="6"/>
        <v>0</v>
      </c>
      <c r="AA27" s="31">
        <f t="shared" si="7"/>
        <v>1.0382153172507149E-2</v>
      </c>
      <c r="AB27" s="31">
        <f t="shared" si="8"/>
        <v>4.0222470438163176E-2</v>
      </c>
    </row>
    <row r="28" spans="1:28" ht="25.5" x14ac:dyDescent="0.25">
      <c r="A28" s="603"/>
      <c r="B28" s="181" t="s">
        <v>53</v>
      </c>
      <c r="C28" s="174">
        <f>'ISS E15 PB BAN'!G40</f>
        <v>1.0605896532677179E-3</v>
      </c>
      <c r="D28" s="111">
        <f>'ISS E15 PB BAN'!H40</f>
        <v>7.8808615293159872E-4</v>
      </c>
      <c r="E28" s="111">
        <f>'ISS E15 PB PAR'!G40</f>
        <v>4.6882423224291715E-3</v>
      </c>
      <c r="F28" s="111">
        <f>'ISS E15 PB PAR'!H40</f>
        <v>4.1291170809685902E-3</v>
      </c>
      <c r="G28" s="111">
        <f>'IVR E15 PB BAN'!G40</f>
        <v>1.0131901248767068E-2</v>
      </c>
      <c r="H28" s="111">
        <f>'IVR E15 PB BAN'!H40</f>
        <v>8.5745621990511185E-3</v>
      </c>
      <c r="I28" s="111">
        <f>'IVR E15 PB PAR'!G40</f>
        <v>1.2051735430233679E-2</v>
      </c>
      <c r="J28" s="111">
        <f>'IVR E15 PB PAR'!H40</f>
        <v>1.1546849959829807E-2</v>
      </c>
      <c r="K28" s="111">
        <f>'ROM E15 PB BAN'!G40</f>
        <v>1.1756526792014282E-2</v>
      </c>
      <c r="L28" s="111">
        <f>'ROM E15 PB BAN'!H40</f>
        <v>9.8755964558311302E-3</v>
      </c>
      <c r="M28" s="111">
        <f>'ROM E15 PB PAR'!G40</f>
        <v>6.0326130156819599E-4</v>
      </c>
      <c r="N28" s="111">
        <f>'ROM E15 PB PAR'!H40</f>
        <v>6.3342268481142439E-4</v>
      </c>
      <c r="O28" s="111">
        <f>'STO E15 PB BAN'!G40</f>
        <v>1.8081599519654282E-2</v>
      </c>
      <c r="P28" s="111">
        <f>'STO E15 PB BAN'!H40</f>
        <v>1.6694224720089627E-2</v>
      </c>
      <c r="Q28" s="111">
        <f>'STO E15 PB PAR '!G40</f>
        <v>2.5518227997713621E-2</v>
      </c>
      <c r="R28" s="111">
        <f>'STO E15 PB PAR '!H40</f>
        <v>2.6451064448899695E-2</v>
      </c>
      <c r="S28" s="62">
        <f t="shared" si="0"/>
        <v>1.0486510533206001E-2</v>
      </c>
      <c r="T28" s="62">
        <f t="shared" si="1"/>
        <v>9.8366154628016234E-3</v>
      </c>
      <c r="U28" s="62">
        <f t="shared" si="2"/>
        <v>1.0715366762986168E-2</v>
      </c>
      <c r="V28" s="62">
        <f t="shared" si="9"/>
        <v>1.069011354362738E-2</v>
      </c>
      <c r="W28" s="62">
        <f t="shared" si="3"/>
        <v>1.0257654303425838E-2</v>
      </c>
      <c r="X28" s="62">
        <f t="shared" si="4"/>
        <v>8.9831173819758681E-3</v>
      </c>
      <c r="Y28" s="232">
        <f t="shared" si="5"/>
        <v>0</v>
      </c>
      <c r="Z28" s="232">
        <f t="shared" si="6"/>
        <v>0</v>
      </c>
      <c r="AA28" s="31">
        <f t="shared" si="7"/>
        <v>6.3342268481142439E-4</v>
      </c>
      <c r="AB28" s="31">
        <f t="shared" si="8"/>
        <v>2.6451064448899695E-2</v>
      </c>
    </row>
    <row r="29" spans="1:28" x14ac:dyDescent="0.25">
      <c r="A29" s="603"/>
      <c r="B29" s="181" t="s">
        <v>54</v>
      </c>
      <c r="C29" s="174">
        <f>'ISS E15 PB BAN'!G41</f>
        <v>2.5818146411421435E-2</v>
      </c>
      <c r="D29" s="111">
        <f>'ISS E15 PB BAN'!H41</f>
        <v>2.1471204798883758E-2</v>
      </c>
      <c r="E29" s="111">
        <f>'ISS E15 PB PAR'!G41</f>
        <v>2.2953601012626945E-2</v>
      </c>
      <c r="F29" s="111">
        <f>'ISS E15 PB PAR'!H41</f>
        <v>2.2605251200906822E-2</v>
      </c>
      <c r="G29" s="111">
        <f>'IVR E15 PB BAN'!G41</f>
        <v>2.6209640729242131E-2</v>
      </c>
      <c r="H29" s="111">
        <f>'IVR E15 PB BAN'!H41</f>
        <v>2.4819044349902925E-2</v>
      </c>
      <c r="I29" s="111">
        <f>'IVR E15 PB PAR'!G41</f>
        <v>2.6596424700993063E-2</v>
      </c>
      <c r="J29" s="111">
        <f>'IVR E15 PB PAR'!H41</f>
        <v>2.8497562974344307E-2</v>
      </c>
      <c r="K29" s="111">
        <f>'ROM E15 PB BAN'!G41</f>
        <v>2.9500269787905192E-2</v>
      </c>
      <c r="L29" s="111">
        <f>'ROM E15 PB BAN'!H41</f>
        <v>2.7716841328626424E-2</v>
      </c>
      <c r="M29" s="111">
        <f>'ROM E15 PB PAR'!G41</f>
        <v>3.0678321201866851E-2</v>
      </c>
      <c r="N29" s="111">
        <f>'ROM E15 PB PAR'!H41</f>
        <v>3.6029616171376733E-2</v>
      </c>
      <c r="O29" s="111">
        <f>'STO E15 PB BAN'!G41</f>
        <v>6.1093477805736492E-2</v>
      </c>
      <c r="P29" s="111">
        <f>'STO E15 PB BAN'!H41</f>
        <v>6.3110970407981054E-2</v>
      </c>
      <c r="Q29" s="111">
        <f>'STO E15 PB PAR '!G41</f>
        <v>3.6007117460707026E-2</v>
      </c>
      <c r="R29" s="111">
        <f>'STO E15 PB PAR '!H41</f>
        <v>4.1744018474523165E-2</v>
      </c>
      <c r="S29" s="62">
        <f t="shared" si="0"/>
        <v>3.2357124888812386E-2</v>
      </c>
      <c r="T29" s="62">
        <f t="shared" si="1"/>
        <v>3.324931371331815E-2</v>
      </c>
      <c r="U29" s="62">
        <f>AVERAGE(E29,I29,M29,Q29)</f>
        <v>2.9058866094048473E-2</v>
      </c>
      <c r="V29" s="62">
        <f t="shared" si="9"/>
        <v>3.2219112205287753E-2</v>
      </c>
      <c r="W29" s="62">
        <f t="shared" si="3"/>
        <v>3.5655383683576312E-2</v>
      </c>
      <c r="X29" s="62">
        <f t="shared" si="4"/>
        <v>3.427951522134854E-2</v>
      </c>
      <c r="Y29" s="232">
        <f t="shared" si="5"/>
        <v>0</v>
      </c>
      <c r="Z29" s="232">
        <f t="shared" si="6"/>
        <v>0</v>
      </c>
      <c r="AA29" s="31">
        <f t="shared" si="7"/>
        <v>2.1471204798883758E-2</v>
      </c>
      <c r="AB29" s="31">
        <f t="shared" si="8"/>
        <v>6.3110970407981054E-2</v>
      </c>
    </row>
    <row r="30" spans="1:28" x14ac:dyDescent="0.25">
      <c r="A30" s="603"/>
      <c r="B30" s="181" t="s">
        <v>55</v>
      </c>
      <c r="C30" s="174">
        <f>'ISS E15 PB BAN'!G42</f>
        <v>1.7738373325737987E-2</v>
      </c>
      <c r="D30" s="111">
        <f>'ISS E15 PB BAN'!H42</f>
        <v>1.4754988292393426E-2</v>
      </c>
      <c r="E30" s="111">
        <f>'ISS E15 PB PAR'!G42</f>
        <v>5.3235555162201478E-2</v>
      </c>
      <c r="F30" s="111">
        <f>'ISS E15 PB PAR'!H42</f>
        <v>5.2431535786944344E-2</v>
      </c>
      <c r="G30" s="111">
        <f>'IVR E15 PB BAN'!G42</f>
        <v>2.8096804015272023E-2</v>
      </c>
      <c r="H30" s="111">
        <f>'IVR E15 PB BAN'!H42</f>
        <v>2.6610847732761487E-2</v>
      </c>
      <c r="I30" s="111">
        <f>'IVR E15 PB PAR'!G42</f>
        <v>4.4225099472300182E-2</v>
      </c>
      <c r="J30" s="111">
        <f>'IVR E15 PB PAR'!H42</f>
        <v>4.7390883096831447E-2</v>
      </c>
      <c r="K30" s="111">
        <f>'ROM E15 PB BAN'!G42</f>
        <v>0.10433528410741708</v>
      </c>
      <c r="L30" s="111">
        <f>'ROM E15 PB BAN'!H42</f>
        <v>9.8039320836422861E-2</v>
      </c>
      <c r="M30" s="111">
        <f>'ROM E15 PB PAR'!G42</f>
        <v>2.4433265578809114E-2</v>
      </c>
      <c r="N30" s="111">
        <f>'ROM E15 PB PAR'!H42</f>
        <v>2.8698679273564318E-2</v>
      </c>
      <c r="O30" s="111">
        <f>'STO E15 PB BAN'!G42</f>
        <v>4.2912629221294789E-2</v>
      </c>
      <c r="P30" s="111">
        <f>'STO E15 PB BAN'!H42</f>
        <v>4.4337320405697177E-2</v>
      </c>
      <c r="Q30" s="111">
        <f>'STO E15 PB PAR '!G42</f>
        <v>3.7298852616248088E-2</v>
      </c>
      <c r="R30" s="111">
        <f>'STO E15 PB PAR '!H42</f>
        <v>4.3246360263814398E-2</v>
      </c>
      <c r="S30" s="62">
        <f t="shared" si="0"/>
        <v>4.4034482937410094E-2</v>
      </c>
      <c r="T30" s="62">
        <f t="shared" si="1"/>
        <v>4.4438741961053678E-2</v>
      </c>
      <c r="U30" s="62">
        <f t="shared" si="2"/>
        <v>3.9798193207389712E-2</v>
      </c>
      <c r="V30" s="62">
        <f t="shared" si="9"/>
        <v>4.2941864605288628E-2</v>
      </c>
      <c r="W30" s="62">
        <f t="shared" si="3"/>
        <v>4.8270772667430469E-2</v>
      </c>
      <c r="X30" s="62">
        <f t="shared" si="4"/>
        <v>4.5935619316818742E-2</v>
      </c>
      <c r="Y30" s="232">
        <f t="shared" si="5"/>
        <v>0</v>
      </c>
      <c r="Z30" s="232">
        <f t="shared" si="6"/>
        <v>0</v>
      </c>
      <c r="AA30" s="31">
        <f t="shared" si="7"/>
        <v>1.4754988292393426E-2</v>
      </c>
      <c r="AB30" s="31">
        <f t="shared" si="8"/>
        <v>9.8039320836422861E-2</v>
      </c>
    </row>
    <row r="31" spans="1:28" x14ac:dyDescent="0.25">
      <c r="A31" s="205" t="s">
        <v>127</v>
      </c>
      <c r="B31" s="203" t="s">
        <v>56</v>
      </c>
      <c r="C31" s="176">
        <f>'ISS E15 PB BAN'!G43</f>
        <v>4.5032518379459055E-2</v>
      </c>
      <c r="D31" s="96">
        <f>'ISS E15 PB BAN'!H43</f>
        <v>3.3534934223932743E-2</v>
      </c>
      <c r="E31" s="96">
        <f>'ISS E15 PB PAR'!G43</f>
        <v>6.3004466145713728E-2</v>
      </c>
      <c r="F31" s="96">
        <f>'ISS E15 PB PAR'!H43</f>
        <v>5.554490833172368E-2</v>
      </c>
      <c r="G31" s="96">
        <f>'IVR E15 PB BAN'!G43</f>
        <v>4.6325127115096953E-2</v>
      </c>
      <c r="H31" s="96">
        <f>'IVR E15 PB BAN'!H43</f>
        <v>3.8632698825070026E-2</v>
      </c>
      <c r="I31" s="96">
        <f>'IVR E15 PB PAR'!G43</f>
        <v>2.4487985634292039E-2</v>
      </c>
      <c r="J31" s="96">
        <f>'IVR E15 PB PAR'!H43</f>
        <v>2.3246643179271508E-2</v>
      </c>
      <c r="K31" s="96">
        <f>'ROM E15 PB BAN'!G43</f>
        <v>3.4429087286763776E-2</v>
      </c>
      <c r="L31" s="96">
        <f>'ROM E15 PB BAN'!H43</f>
        <v>2.8776107928219451E-2</v>
      </c>
      <c r="M31" s="96">
        <f>'ROM E15 PB PAR'!G43</f>
        <v>6.1166437663945125E-2</v>
      </c>
      <c r="N31" s="96">
        <f>'ROM E15 PB PAR'!H43</f>
        <v>6.4288170461475336E-2</v>
      </c>
      <c r="O31" s="96">
        <f>'STO E15 PB BAN'!G43</f>
        <v>1.1892605599029833E-2</v>
      </c>
      <c r="P31" s="96">
        <f>'STO E15 PB BAN'!H43</f>
        <v>1.0872611246940308E-2</v>
      </c>
      <c r="Q31" s="96">
        <f>'STO E15 PB PAR '!G43</f>
        <v>1.4532020499836918E-2</v>
      </c>
      <c r="R31" s="96">
        <f>'STO E15 PB PAR '!H43</f>
        <v>1.4768258135210576E-2</v>
      </c>
      <c r="S31" s="60">
        <f t="shared" si="0"/>
        <v>3.7608781040517181E-2</v>
      </c>
      <c r="T31" s="60">
        <f t="shared" si="1"/>
        <v>3.3708041541480459E-2</v>
      </c>
      <c r="U31" s="60">
        <f t="shared" si="2"/>
        <v>4.0797727485946955E-2</v>
      </c>
      <c r="V31" s="60">
        <f t="shared" si="9"/>
        <v>3.9461995026920278E-2</v>
      </c>
      <c r="W31" s="60">
        <f t="shared" si="3"/>
        <v>3.4419834595087406E-2</v>
      </c>
      <c r="X31" s="60">
        <f t="shared" si="4"/>
        <v>2.7954088056040632E-2</v>
      </c>
      <c r="Y31" s="232">
        <f t="shared" si="5"/>
        <v>0</v>
      </c>
      <c r="Z31" s="232">
        <f t="shared" si="6"/>
        <v>0</v>
      </c>
      <c r="AA31" s="252">
        <f t="shared" si="7"/>
        <v>1.0872611246940308E-2</v>
      </c>
      <c r="AB31" s="252">
        <f t="shared" si="8"/>
        <v>6.4288170461475336E-2</v>
      </c>
    </row>
    <row r="32" spans="1:28" ht="25.5" x14ac:dyDescent="0.25">
      <c r="A32" s="603" t="s">
        <v>57</v>
      </c>
      <c r="B32" s="181" t="s">
        <v>58</v>
      </c>
      <c r="C32" s="174">
        <f>'ISS E15 PB BAN'!G44</f>
        <v>3.0616506979144018E-2</v>
      </c>
      <c r="D32" s="111">
        <f>'ISS E15 PB BAN'!H44</f>
        <v>2.2303404283848291E-2</v>
      </c>
      <c r="E32" s="111">
        <f>'ISS E15 PB PAR'!G44</f>
        <v>4.6214463498923317E-2</v>
      </c>
      <c r="F32" s="111">
        <f>'ISS E15 PB PAR'!H44</f>
        <v>3.9859955216133343E-2</v>
      </c>
      <c r="G32" s="111">
        <f>'IVR E15 PB BAN'!G44</f>
        <v>5.0952953765409405E-2</v>
      </c>
      <c r="H32" s="111">
        <f>'IVR E15 PB BAN'!H44</f>
        <v>4.1559852394245818E-2</v>
      </c>
      <c r="I32" s="111">
        <f>'IVR E15 PB PAR'!G44</f>
        <v>2.6167656308697523E-2</v>
      </c>
      <c r="J32" s="111">
        <f>'IVR E15 PB PAR'!H44</f>
        <v>2.4299920233205086E-2</v>
      </c>
      <c r="K32" s="111">
        <f>'ROM E15 PB BAN'!G44</f>
        <v>7.5571742829867602E-2</v>
      </c>
      <c r="L32" s="111">
        <f>'ROM E15 PB BAN'!H44</f>
        <v>6.1776642761410525E-2</v>
      </c>
      <c r="M32" s="111">
        <f>'ROM E15 PB PAR'!G44</f>
        <v>0.18609593889223247</v>
      </c>
      <c r="N32" s="111">
        <f>'ROM E15 PB PAR'!H44</f>
        <v>0.19125225077041133</v>
      </c>
      <c r="O32" s="111">
        <f>'STO E15 PB BAN'!G44</f>
        <v>2.0983029891250685E-2</v>
      </c>
      <c r="P32" s="111">
        <f>'STO E15 PB BAN'!H44</f>
        <v>1.8760670213898552E-2</v>
      </c>
      <c r="Q32" s="111">
        <f>'STO E15 PB PAR '!G44</f>
        <v>0.1233284139752826</v>
      </c>
      <c r="R32" s="111">
        <f>'STO E15 PB PAR '!H44</f>
        <v>0.12251542775625024</v>
      </c>
      <c r="S32" s="62">
        <f t="shared" si="0"/>
        <v>6.9991338267600955E-2</v>
      </c>
      <c r="T32" s="62">
        <f t="shared" si="1"/>
        <v>6.5291015453675411E-2</v>
      </c>
      <c r="U32" s="62">
        <f t="shared" si="2"/>
        <v>9.5451618168783975E-2</v>
      </c>
      <c r="V32" s="62">
        <f t="shared" si="9"/>
        <v>9.4481888493999994E-2</v>
      </c>
      <c r="W32" s="62">
        <f t="shared" si="3"/>
        <v>4.4531058366417922E-2</v>
      </c>
      <c r="X32" s="62">
        <f t="shared" si="4"/>
        <v>3.61001424133508E-2</v>
      </c>
      <c r="Y32" s="232">
        <f t="shared" si="5"/>
        <v>0</v>
      </c>
      <c r="Z32" s="232">
        <f t="shared" si="6"/>
        <v>0</v>
      </c>
      <c r="AA32" s="31">
        <f t="shared" si="7"/>
        <v>1.8760670213898552E-2</v>
      </c>
      <c r="AB32" s="31">
        <f t="shared" si="8"/>
        <v>0.19125225077041133</v>
      </c>
    </row>
    <row r="33" spans="1:28" x14ac:dyDescent="0.25">
      <c r="A33" s="603"/>
      <c r="B33" s="181" t="s">
        <v>59</v>
      </c>
      <c r="C33" s="174">
        <f>'ISS E15 PB BAN'!G45</f>
        <v>2.8552656843055475E-2</v>
      </c>
      <c r="D33" s="111">
        <f>'ISS E15 PB BAN'!H45</f>
        <v>2.0799938065516645E-2</v>
      </c>
      <c r="E33" s="111">
        <f>'ISS E15 PB PAR'!G45</f>
        <v>1.5702898193753409E-2</v>
      </c>
      <c r="F33" s="111">
        <f>'ISS E15 PB PAR'!H45</f>
        <v>1.3543743048777236E-2</v>
      </c>
      <c r="G33" s="111">
        <f>'IVR E15 PB BAN'!G45</f>
        <v>9.5859523714199475E-4</v>
      </c>
      <c r="H33" s="111">
        <f>'IVR E15 PB BAN'!H45</f>
        <v>7.8187962850730845E-4</v>
      </c>
      <c r="I33" s="111">
        <f>'IVR E15 PB PAR'!G45</f>
        <v>3.1206668331913934E-2</v>
      </c>
      <c r="J33" s="111">
        <f>'IVR E15 PB PAR'!H45</f>
        <v>2.8979268997718681E-2</v>
      </c>
      <c r="K33" s="111">
        <f>'ROM E15 PB BAN'!G45</f>
        <v>2.3108371726227525E-2</v>
      </c>
      <c r="L33" s="111">
        <f>'ROM E15 PB BAN'!H45</f>
        <v>1.8890097958212435E-2</v>
      </c>
      <c r="M33" s="111">
        <f>'ROM E15 PB PAR'!G45</f>
        <v>7.69808735412906E-4</v>
      </c>
      <c r="N33" s="111">
        <f>'ROM E15 PB PAR'!H45</f>
        <v>7.9113845356776629E-4</v>
      </c>
      <c r="O33" s="111">
        <f>'STO E15 PB BAN'!G45</f>
        <v>1.1958771642221446E-2</v>
      </c>
      <c r="P33" s="111">
        <f>'STO E15 PB BAN'!H45</f>
        <v>1.0692191361581577E-2</v>
      </c>
      <c r="Q33" s="111">
        <f>'STO E15 PB PAR '!G45</f>
        <v>3.0310565424770956E-2</v>
      </c>
      <c r="R33" s="111">
        <f>'STO E15 PB PAR '!H45</f>
        <v>3.0110756871436637E-2</v>
      </c>
      <c r="S33" s="62">
        <f t="shared" si="0"/>
        <v>1.7821042016812207E-2</v>
      </c>
      <c r="T33" s="62">
        <f t="shared" si="1"/>
        <v>1.5573626798164784E-2</v>
      </c>
      <c r="U33" s="62">
        <f t="shared" si="2"/>
        <v>1.9497485171462801E-2</v>
      </c>
      <c r="V33" s="62">
        <f t="shared" si="9"/>
        <v>1.8356226842875079E-2</v>
      </c>
      <c r="W33" s="62">
        <f t="shared" si="3"/>
        <v>1.6144598862161609E-2</v>
      </c>
      <c r="X33" s="62">
        <f t="shared" si="4"/>
        <v>1.279102675345449E-2</v>
      </c>
      <c r="Y33" s="232">
        <f t="shared" si="5"/>
        <v>0</v>
      </c>
      <c r="Z33" s="232">
        <f t="shared" si="6"/>
        <v>0</v>
      </c>
      <c r="AA33" s="31">
        <f t="shared" si="7"/>
        <v>7.8187962850730845E-4</v>
      </c>
      <c r="AB33" s="31">
        <f t="shared" si="8"/>
        <v>3.0110756871436637E-2</v>
      </c>
    </row>
    <row r="34" spans="1:28" ht="25.5" x14ac:dyDescent="0.25">
      <c r="A34" s="602" t="s">
        <v>60</v>
      </c>
      <c r="B34" s="203" t="s">
        <v>61</v>
      </c>
      <c r="C34" s="176">
        <f>'ISS E15 PB BAN'!G46</f>
        <v>1.3807230209378879E-2</v>
      </c>
      <c r="D34" s="96">
        <f>'ISS E15 PB BAN'!H46</f>
        <v>1.0384844280410171E-2</v>
      </c>
      <c r="E34" s="96">
        <f>'ISS E15 PB PAR'!G46</f>
        <v>1.6081965337899955E-2</v>
      </c>
      <c r="F34" s="96">
        <f>'ISS E15 PB PAR'!H46</f>
        <v>1.432045102744817E-2</v>
      </c>
      <c r="G34" s="96">
        <f>'IVR E15 PB BAN'!G46</f>
        <v>2.4242404941201313E-2</v>
      </c>
      <c r="H34" s="96">
        <f>'IVR E15 PB BAN'!H46</f>
        <v>2.0417109437553153E-2</v>
      </c>
      <c r="I34" s="96">
        <f>'IVR E15 PB PAR'!G46</f>
        <v>3.0970649033402627E-2</v>
      </c>
      <c r="J34" s="96">
        <f>'IVR E15 PB PAR'!H46</f>
        <v>2.9694329232623343E-2</v>
      </c>
      <c r="K34" s="96">
        <f>'ROM E15 PB BAN'!G46</f>
        <v>2.4166770431245602E-2</v>
      </c>
      <c r="L34" s="96">
        <f>'ROM E15 PB BAN'!H46</f>
        <v>2.0398631901496374E-2</v>
      </c>
      <c r="M34" s="96">
        <f>'ROM E15 PB PAR'!G46</f>
        <v>3.0064650685683366E-2</v>
      </c>
      <c r="N34" s="96">
        <f>'ROM E15 PB PAR'!H46</f>
        <v>3.1907481553632322E-2</v>
      </c>
      <c r="O34" s="96">
        <f>'STO E15 PB BAN'!G46</f>
        <v>2.3921987272418444E-2</v>
      </c>
      <c r="P34" s="96">
        <f>'STO E15 PB BAN'!H46</f>
        <v>2.208569730215354E-2</v>
      </c>
      <c r="Q34" s="96">
        <f>'STO E15 PB PAR '!G46</f>
        <v>1.0379091974772419E-2</v>
      </c>
      <c r="R34" s="96">
        <f>'STO E15 PB PAR '!H46</f>
        <v>1.0649089711882253E-2</v>
      </c>
      <c r="S34" s="60">
        <f t="shared" si="0"/>
        <v>2.1704343735750326E-2</v>
      </c>
      <c r="T34" s="60">
        <f t="shared" si="1"/>
        <v>1.9982204305899916E-2</v>
      </c>
      <c r="U34" s="60">
        <f t="shared" si="2"/>
        <v>2.1874089257939593E-2</v>
      </c>
      <c r="V34" s="60">
        <f t="shared" si="9"/>
        <v>2.164283788139652E-2</v>
      </c>
      <c r="W34" s="60">
        <f t="shared" si="3"/>
        <v>2.153459821356106E-2</v>
      </c>
      <c r="X34" s="60">
        <f t="shared" si="4"/>
        <v>1.832157073040331E-2</v>
      </c>
      <c r="Y34" s="232">
        <f t="shared" si="5"/>
        <v>0</v>
      </c>
      <c r="Z34" s="232">
        <f t="shared" si="6"/>
        <v>0</v>
      </c>
      <c r="AA34" s="252">
        <f t="shared" si="7"/>
        <v>1.0384844280410171E-2</v>
      </c>
      <c r="AB34" s="252">
        <f t="shared" si="8"/>
        <v>3.1907481553632322E-2</v>
      </c>
    </row>
    <row r="35" spans="1:28" ht="25.5" x14ac:dyDescent="0.25">
      <c r="A35" s="602"/>
      <c r="B35" s="203" t="s">
        <v>62</v>
      </c>
      <c r="C35" s="176">
        <f>'ISS E15 PB BAN'!G47</f>
        <v>1.2962762428827663E-3</v>
      </c>
      <c r="D35" s="96">
        <f>'ISS E15 PB BAN'!H47</f>
        <v>9.7496939810481052E-4</v>
      </c>
      <c r="E35" s="96">
        <f>'ISS E15 PB PAR'!G47</f>
        <v>6.5635392514008396E-3</v>
      </c>
      <c r="F35" s="96">
        <f>'ISS E15 PB PAR'!H47</f>
        <v>5.8446116778344895E-3</v>
      </c>
      <c r="G35" s="96">
        <f>'IVR E15 PB BAN'!G47</f>
        <v>4.7929761857099743E-3</v>
      </c>
      <c r="H35" s="96">
        <f>'IVR E15 PB BAN'!H47</f>
        <v>4.0366753856549229E-3</v>
      </c>
      <c r="I35" s="96">
        <f>'IVR E15 PB PAR'!G47</f>
        <v>1.6885213980996525E-3</v>
      </c>
      <c r="J35" s="96">
        <f>'IVR E15 PB PAR'!H47</f>
        <v>1.6189363760967304E-3</v>
      </c>
      <c r="K35" s="96">
        <f>'ROM E15 PB BAN'!G47</f>
        <v>4.9288174988585927E-3</v>
      </c>
      <c r="L35" s="96">
        <f>'ROM E15 PB BAN'!H47</f>
        <v>4.1603049176516865E-3</v>
      </c>
      <c r="M35" s="96">
        <f>'ROM E15 PB PAR'!G47</f>
        <v>2.9126875078069134E-3</v>
      </c>
      <c r="N35" s="96">
        <f>'ROM E15 PB PAR'!H47</f>
        <v>3.0912224425444692E-3</v>
      </c>
      <c r="O35" s="96">
        <f>'STO E15 PB BAN'!G47</f>
        <v>9.2834908809366797E-3</v>
      </c>
      <c r="P35" s="96">
        <f>'STO E15 PB BAN'!H47</f>
        <v>8.5708752859369793E-3</v>
      </c>
      <c r="Q35" s="96">
        <f>'STO E15 PB PAR '!G47</f>
        <v>9.3069517956733371E-3</v>
      </c>
      <c r="R35" s="96">
        <f>'STO E15 PB PAR '!H47</f>
        <v>9.5490592873816588E-3</v>
      </c>
      <c r="S35" s="60">
        <f t="shared" si="0"/>
        <v>5.0966575951710957E-3</v>
      </c>
      <c r="T35" s="60">
        <f t="shared" si="1"/>
        <v>4.7308318464007182E-3</v>
      </c>
      <c r="U35" s="60">
        <f t="shared" si="2"/>
        <v>5.1179249882451856E-3</v>
      </c>
      <c r="V35" s="60">
        <f t="shared" si="9"/>
        <v>5.0259574459643368E-3</v>
      </c>
      <c r="W35" s="60">
        <f t="shared" si="3"/>
        <v>5.0753902020970031E-3</v>
      </c>
      <c r="X35" s="60">
        <f t="shared" si="4"/>
        <v>4.4357062468371004E-3</v>
      </c>
      <c r="Y35" s="232">
        <f t="shared" si="5"/>
        <v>0</v>
      </c>
      <c r="Z35" s="232">
        <f t="shared" si="6"/>
        <v>0</v>
      </c>
      <c r="AA35" s="252">
        <f t="shared" si="7"/>
        <v>9.7496939810481052E-4</v>
      </c>
      <c r="AB35" s="252">
        <f t="shared" si="8"/>
        <v>9.5490592873816588E-3</v>
      </c>
    </row>
    <row r="36" spans="1:28" x14ac:dyDescent="0.25">
      <c r="A36" s="602"/>
      <c r="B36" s="203" t="s">
        <v>63</v>
      </c>
      <c r="C36" s="176">
        <f>'ISS E15 PB BAN'!G48</f>
        <v>0</v>
      </c>
      <c r="D36" s="96">
        <f>'ISS E15 PB BAN'!H48</f>
        <v>0</v>
      </c>
      <c r="E36" s="96">
        <f>'ISS E15 PB PAR'!G48</f>
        <v>0</v>
      </c>
      <c r="F36" s="96">
        <f>'ISS E15 PB PAR'!H48</f>
        <v>0</v>
      </c>
      <c r="G36" s="96">
        <f>'IVR E15 PB BAN'!G48</f>
        <v>0</v>
      </c>
      <c r="H36" s="96">
        <f>'IVR E15 PB BAN'!H48</f>
        <v>0</v>
      </c>
      <c r="I36" s="96">
        <f>'IVR E15 PB PAR'!G48</f>
        <v>0</v>
      </c>
      <c r="J36" s="96">
        <f>'IVR E15 PB PAR'!H48</f>
        <v>0</v>
      </c>
      <c r="K36" s="96">
        <f>'ROM E15 PB BAN'!G48</f>
        <v>0</v>
      </c>
      <c r="L36" s="96">
        <f>'ROM E15 PB BAN'!H48</f>
        <v>0</v>
      </c>
      <c r="M36" s="96">
        <f>'ROM E15 PB PAR'!G48</f>
        <v>0</v>
      </c>
      <c r="N36" s="96">
        <f>'ROM E15 PB PAR'!H48</f>
        <v>0</v>
      </c>
      <c r="O36" s="96">
        <f>'STO E15 PB BAN'!G48</f>
        <v>0</v>
      </c>
      <c r="P36" s="96">
        <f>'STO E15 PB BAN'!H48</f>
        <v>0</v>
      </c>
      <c r="Q36" s="96">
        <f>'STO E15 PB PAR '!G48</f>
        <v>0</v>
      </c>
      <c r="R36" s="96">
        <f>'STO E15 PB PAR '!H48</f>
        <v>0</v>
      </c>
      <c r="S36" s="60">
        <f t="shared" si="0"/>
        <v>0</v>
      </c>
      <c r="T36" s="60">
        <f t="shared" si="1"/>
        <v>0</v>
      </c>
      <c r="U36" s="60">
        <f t="shared" si="2"/>
        <v>0</v>
      </c>
      <c r="V36" s="60">
        <f t="shared" si="9"/>
        <v>0</v>
      </c>
      <c r="W36" s="60">
        <f t="shared" si="3"/>
        <v>0</v>
      </c>
      <c r="X36" s="60">
        <f t="shared" si="4"/>
        <v>0</v>
      </c>
      <c r="Y36" s="232">
        <f t="shared" si="5"/>
        <v>0</v>
      </c>
      <c r="Z36" s="232">
        <f t="shared" si="6"/>
        <v>0</v>
      </c>
      <c r="AA36" s="252">
        <f t="shared" si="7"/>
        <v>0</v>
      </c>
      <c r="AB36" s="252">
        <f t="shared" si="8"/>
        <v>0</v>
      </c>
    </row>
    <row r="37" spans="1:28" ht="25.5" x14ac:dyDescent="0.25">
      <c r="A37" s="602"/>
      <c r="B37" s="203" t="s">
        <v>64</v>
      </c>
      <c r="C37" s="176">
        <f>'ISS E15 PB BAN'!G49</f>
        <v>0</v>
      </c>
      <c r="D37" s="96">
        <f>'ISS E15 PB BAN'!H49</f>
        <v>0</v>
      </c>
      <c r="E37" s="96">
        <f>'ISS E15 PB PAR'!G49</f>
        <v>0</v>
      </c>
      <c r="F37" s="96">
        <f>'ISS E15 PB PAR'!H49</f>
        <v>0</v>
      </c>
      <c r="G37" s="96">
        <f>'IVR E15 PB BAN'!G49</f>
        <v>0</v>
      </c>
      <c r="H37" s="96">
        <f>'IVR E15 PB BAN'!H49</f>
        <v>0</v>
      </c>
      <c r="I37" s="96">
        <f>'IVR E15 PB PAR'!G49</f>
        <v>0</v>
      </c>
      <c r="J37" s="96">
        <f>'IVR E15 PB PAR'!H49</f>
        <v>0</v>
      </c>
      <c r="K37" s="96">
        <f>'ROM E15 PB BAN'!G49</f>
        <v>0</v>
      </c>
      <c r="L37" s="96">
        <f>'ROM E15 PB BAN'!H49</f>
        <v>0</v>
      </c>
      <c r="M37" s="96">
        <f>'ROM E15 PB PAR'!G49</f>
        <v>0</v>
      </c>
      <c r="N37" s="96">
        <f>'ROM E15 PB PAR'!H49</f>
        <v>0</v>
      </c>
      <c r="O37" s="96">
        <f>'STO E15 PB BAN'!G49</f>
        <v>0</v>
      </c>
      <c r="P37" s="96">
        <f>'STO E15 PB BAN'!H49</f>
        <v>0</v>
      </c>
      <c r="Q37" s="96">
        <f>'STO E15 PB PAR '!G49</f>
        <v>0</v>
      </c>
      <c r="R37" s="96">
        <f>'STO E15 PB PAR '!H49</f>
        <v>0</v>
      </c>
      <c r="S37" s="60">
        <f t="shared" si="0"/>
        <v>0</v>
      </c>
      <c r="T37" s="60">
        <f t="shared" si="1"/>
        <v>0</v>
      </c>
      <c r="U37" s="60">
        <f t="shared" si="2"/>
        <v>0</v>
      </c>
      <c r="V37" s="60">
        <f t="shared" si="9"/>
        <v>0</v>
      </c>
      <c r="W37" s="60">
        <f t="shared" si="3"/>
        <v>0</v>
      </c>
      <c r="X37" s="60">
        <f t="shared" si="4"/>
        <v>0</v>
      </c>
      <c r="Y37" s="232">
        <f t="shared" si="5"/>
        <v>0</v>
      </c>
      <c r="Z37" s="232">
        <f t="shared" si="6"/>
        <v>0</v>
      </c>
      <c r="AA37" s="252">
        <f t="shared" si="7"/>
        <v>0</v>
      </c>
      <c r="AB37" s="252">
        <f t="shared" si="8"/>
        <v>0</v>
      </c>
    </row>
    <row r="38" spans="1:28" x14ac:dyDescent="0.25">
      <c r="A38" s="602"/>
      <c r="B38" s="203" t="s">
        <v>65</v>
      </c>
      <c r="C38" s="176">
        <f>'ISS E15 PB BAN'!G50</f>
        <v>0</v>
      </c>
      <c r="D38" s="96">
        <f>'ISS E15 PB BAN'!H50</f>
        <v>0</v>
      </c>
      <c r="E38" s="96">
        <f>'ISS E15 PB PAR'!G50</f>
        <v>1.2399002402150158E-2</v>
      </c>
      <c r="F38" s="96">
        <f>'ISS E15 PB PAR'!H50</f>
        <v>1.1040895994891503E-2</v>
      </c>
      <c r="G38" s="96">
        <f>'IVR E15 PB BAN'!G50</f>
        <v>3.6951639848444586E-3</v>
      </c>
      <c r="H38" s="96">
        <f>'IVR E15 PB BAN'!H50</f>
        <v>3.1120908858366637E-3</v>
      </c>
      <c r="I38" s="96">
        <f>'IVR E15 PB PAR'!G50</f>
        <v>1.054219533350511E-3</v>
      </c>
      <c r="J38" s="96">
        <f>'IVR E15 PB PAR'!H50</f>
        <v>1.0107744875804863E-3</v>
      </c>
      <c r="K38" s="96">
        <f>'ROM E15 PB BAN'!G50</f>
        <v>2.1790561573901144E-3</v>
      </c>
      <c r="L38" s="96">
        <f>'ROM E15 PB BAN'!H50</f>
        <v>1.8392927004354824E-3</v>
      </c>
      <c r="M38" s="96">
        <f>'ROM E15 PB PAR'!G50</f>
        <v>3.7861152432538832E-3</v>
      </c>
      <c r="N38" s="96">
        <f>'ROM E15 PB PAR'!H50</f>
        <v>4.0181874569916861E-3</v>
      </c>
      <c r="O38" s="96">
        <f>'STO E15 PB BAN'!G50</f>
        <v>7.4698500104680571E-3</v>
      </c>
      <c r="P38" s="96">
        <f>'STO E15 PB BAN'!H50</f>
        <v>6.8964523868759366E-3</v>
      </c>
      <c r="Q38" s="96">
        <f>'STO E15 PB PAR '!G50</f>
        <v>1.8287740464572551E-2</v>
      </c>
      <c r="R38" s="96">
        <f>'STO E15 PB PAR '!H50</f>
        <v>1.8763470764900179E-2</v>
      </c>
      <c r="S38" s="60">
        <f t="shared" si="0"/>
        <v>6.1088934745037165E-3</v>
      </c>
      <c r="T38" s="60">
        <f t="shared" si="1"/>
        <v>5.8351455846889916E-3</v>
      </c>
      <c r="U38" s="60">
        <f t="shared" si="2"/>
        <v>8.881769410831776E-3</v>
      </c>
      <c r="V38" s="60">
        <f t="shared" si="9"/>
        <v>8.7083321760909639E-3</v>
      </c>
      <c r="W38" s="60">
        <f t="shared" si="3"/>
        <v>3.3360175381756574E-3</v>
      </c>
      <c r="X38" s="60">
        <f t="shared" si="4"/>
        <v>2.9619589932870206E-3</v>
      </c>
      <c r="Y38" s="232">
        <f t="shared" si="5"/>
        <v>0</v>
      </c>
      <c r="Z38" s="232">
        <f t="shared" si="6"/>
        <v>0</v>
      </c>
      <c r="AA38" s="252">
        <f t="shared" si="7"/>
        <v>0</v>
      </c>
      <c r="AB38" s="252">
        <f t="shared" si="8"/>
        <v>1.8763470764900179E-2</v>
      </c>
    </row>
    <row r="39" spans="1:28" x14ac:dyDescent="0.25">
      <c r="A39" s="602"/>
      <c r="B39" s="203" t="s">
        <v>66</v>
      </c>
      <c r="C39" s="176">
        <f>'ISS E15 PB BAN'!G51</f>
        <v>0</v>
      </c>
      <c r="D39" s="96">
        <f>'ISS E15 PB BAN'!H51</f>
        <v>0</v>
      </c>
      <c r="E39" s="96">
        <f>'ISS E15 PB PAR'!G51</f>
        <v>0</v>
      </c>
      <c r="F39" s="96">
        <f>'ISS E15 PB PAR'!H51</f>
        <v>0</v>
      </c>
      <c r="G39" s="96">
        <f>'IVR E15 PB BAN'!G51</f>
        <v>8.7165287842446461E-3</v>
      </c>
      <c r="H39" s="96">
        <f>'IVR E15 PB BAN'!H51</f>
        <v>7.3411166315863917E-3</v>
      </c>
      <c r="I39" s="96">
        <f>'IVR E15 PB PAR'!G51</f>
        <v>0</v>
      </c>
      <c r="J39" s="96">
        <f>'IVR E15 PB PAR'!H51</f>
        <v>0</v>
      </c>
      <c r="K39" s="96">
        <f>'ROM E15 PB BAN'!G51</f>
        <v>0</v>
      </c>
      <c r="L39" s="96">
        <f>'ROM E15 PB BAN'!H51</f>
        <v>0</v>
      </c>
      <c r="M39" s="96">
        <f>'ROM E15 PB PAR'!G51</f>
        <v>0</v>
      </c>
      <c r="N39" s="96">
        <f>'ROM E15 PB PAR'!H51</f>
        <v>0</v>
      </c>
      <c r="O39" s="96">
        <f>'STO E15 PB BAN'!G51</f>
        <v>1.224565575486568E-4</v>
      </c>
      <c r="P39" s="96">
        <f>'STO E15 PB BAN'!H51</f>
        <v>1.1305659650616302E-4</v>
      </c>
      <c r="Q39" s="96">
        <f>'STO E15 PB PAR '!G51</f>
        <v>0</v>
      </c>
      <c r="R39" s="96">
        <f>'STO E15 PB PAR '!H51</f>
        <v>0</v>
      </c>
      <c r="S39" s="60">
        <f t="shared" si="0"/>
        <v>1.1048731677241628E-3</v>
      </c>
      <c r="T39" s="60">
        <f t="shared" si="1"/>
        <v>9.3177165351156937E-4</v>
      </c>
      <c r="U39" s="60">
        <f t="shared" si="2"/>
        <v>0</v>
      </c>
      <c r="V39" s="60">
        <f t="shared" si="9"/>
        <v>0</v>
      </c>
      <c r="W39" s="60">
        <f t="shared" si="3"/>
        <v>2.2097463354483256E-3</v>
      </c>
      <c r="X39" s="60">
        <f t="shared" si="4"/>
        <v>1.8635433070231387E-3</v>
      </c>
      <c r="Y39" s="232">
        <f t="shared" si="5"/>
        <v>0</v>
      </c>
      <c r="Z39" s="232">
        <f t="shared" si="6"/>
        <v>0</v>
      </c>
      <c r="AA39" s="252">
        <f t="shared" si="7"/>
        <v>0</v>
      </c>
      <c r="AB39" s="252">
        <f t="shared" si="8"/>
        <v>7.3411166315863917E-3</v>
      </c>
    </row>
    <row r="40" spans="1:28" ht="25.5" x14ac:dyDescent="0.25">
      <c r="A40" s="204" t="s">
        <v>67</v>
      </c>
      <c r="B40" s="181" t="s">
        <v>68</v>
      </c>
      <c r="C40" s="174">
        <f>'ISS E15 PB BAN'!G52</f>
        <v>2.9415324360256528E-3</v>
      </c>
      <c r="D40" s="111">
        <f>'ISS E15 PB BAN'!H52</f>
        <v>2.4465936192586304E-3</v>
      </c>
      <c r="E40" s="111">
        <f>'ISS E15 PB PAR'!G52</f>
        <v>1.8201067566631073E-2</v>
      </c>
      <c r="F40" s="111">
        <f>'ISS E15 PB PAR'!H52</f>
        <v>1.7922986314822316E-2</v>
      </c>
      <c r="G40" s="111">
        <f>'IVR E15 PB BAN'!G52</f>
        <v>2.4470793554891526E-2</v>
      </c>
      <c r="H40" s="111">
        <f>'IVR E15 PB BAN'!H52</f>
        <v>2.2790780852279115E-2</v>
      </c>
      <c r="I40" s="111">
        <f>'IVR E15 PB PAR'!G52</f>
        <v>3.8058111884948489E-4</v>
      </c>
      <c r="J40" s="111">
        <f>'IVR E15 PB PAR'!H52</f>
        <v>4.0351985237786645E-4</v>
      </c>
      <c r="K40" s="111">
        <f>'ROM E15 PB BAN'!G52</f>
        <v>1.7546590295936589E-2</v>
      </c>
      <c r="L40" s="111">
        <f>'ROM E15 PB BAN'!H52</f>
        <v>1.6378251547965964E-2</v>
      </c>
      <c r="M40" s="111">
        <f>'ROM E15 PB PAR'!G52</f>
        <v>2.6271911396765196E-2</v>
      </c>
      <c r="N40" s="111">
        <f>'ROM E15 PB PAR'!H52</f>
        <v>3.083311772469861E-2</v>
      </c>
      <c r="O40" s="111">
        <f>'STO E15 PB BAN'!G52</f>
        <v>3.2169535178608833E-3</v>
      </c>
      <c r="P40" s="111">
        <f>'STO E15 PB BAN'!H52</f>
        <v>3.2843546500400554E-3</v>
      </c>
      <c r="Q40" s="111">
        <f>'STO E15 PB PAR '!G52</f>
        <v>4.6961031579695195E-2</v>
      </c>
      <c r="R40" s="111">
        <f>'STO E15 PB PAR '!H52</f>
        <v>5.3281520014668043E-2</v>
      </c>
      <c r="S40" s="62">
        <f t="shared" si="0"/>
        <v>1.7498807683331952E-2</v>
      </c>
      <c r="T40" s="62">
        <f t="shared" si="1"/>
        <v>1.8417640572013824E-2</v>
      </c>
      <c r="U40" s="62">
        <f t="shared" si="2"/>
        <v>2.2953647915485237E-2</v>
      </c>
      <c r="V40" s="62">
        <f t="shared" si="9"/>
        <v>2.5610285976641708E-2</v>
      </c>
      <c r="W40" s="62">
        <f t="shared" si="3"/>
        <v>1.2043967451178661E-2</v>
      </c>
      <c r="X40" s="62">
        <f t="shared" si="4"/>
        <v>1.122499516738594E-2</v>
      </c>
      <c r="Y40" s="232">
        <f t="shared" si="5"/>
        <v>0</v>
      </c>
      <c r="Z40" s="232">
        <f t="shared" si="6"/>
        <v>0</v>
      </c>
      <c r="AA40" s="31">
        <f t="shared" si="7"/>
        <v>4.0351985237786645E-4</v>
      </c>
      <c r="AB40" s="31">
        <f t="shared" si="8"/>
        <v>5.3281520014668043E-2</v>
      </c>
    </row>
    <row r="41" spans="1:28" x14ac:dyDescent="0.25">
      <c r="A41" s="602" t="s">
        <v>69</v>
      </c>
      <c r="B41" s="203" t="s">
        <v>121</v>
      </c>
      <c r="C41" s="176">
        <f>'ISS E15 PB BAN'!G53</f>
        <v>4.7137317923009632E-3</v>
      </c>
      <c r="D41" s="96">
        <f>'ISS E15 PB BAN'!H53</f>
        <v>3.5062744131040984E-3</v>
      </c>
      <c r="E41" s="96">
        <f>'ISS E15 PB PAR'!G53</f>
        <v>0</v>
      </c>
      <c r="F41" s="96">
        <f>'ISS E15 PB PAR'!H53</f>
        <v>0</v>
      </c>
      <c r="G41" s="96">
        <f>'IVR E15 PB BAN'!G53</f>
        <v>7.1519302932473441E-4</v>
      </c>
      <c r="H41" s="96">
        <f>'IVR E15 PB BAN'!H53</f>
        <v>5.9565679415749342E-4</v>
      </c>
      <c r="I41" s="96">
        <f>'IVR E15 PB PAR'!G53</f>
        <v>0</v>
      </c>
      <c r="J41" s="96">
        <f>'IVR E15 PB PAR'!H53</f>
        <v>0</v>
      </c>
      <c r="K41" s="96">
        <f>'ROM E15 PB BAN'!G53</f>
        <v>0</v>
      </c>
      <c r="L41" s="96">
        <f>'ROM E15 PB BAN'!H53</f>
        <v>0</v>
      </c>
      <c r="M41" s="96">
        <f>'ROM E15 PB PAR'!G53</f>
        <v>7.2391356188183519E-4</v>
      </c>
      <c r="N41" s="96">
        <f>'ROM E15 PB PAR'!H53</f>
        <v>7.5967614862863006E-4</v>
      </c>
      <c r="O41" s="96">
        <f>'STO E15 PB BAN'!G53</f>
        <v>0</v>
      </c>
      <c r="P41" s="96">
        <f>'STO E15 PB BAN'!H53</f>
        <v>0</v>
      </c>
      <c r="Q41" s="96">
        <f>'STO E15 PB PAR '!G53</f>
        <v>1.5500821866492721E-3</v>
      </c>
      <c r="R41" s="96">
        <f>'STO E15 PB PAR '!H53</f>
        <v>1E-3</v>
      </c>
      <c r="S41" s="60">
        <f t="shared" si="0"/>
        <v>9.628650712696006E-4</v>
      </c>
      <c r="T41" s="60">
        <f t="shared" si="1"/>
        <v>7.3270091948627778E-4</v>
      </c>
      <c r="U41" s="60">
        <f t="shared" si="2"/>
        <v>5.6849893713277683E-4</v>
      </c>
      <c r="V41" s="60">
        <f t="shared" si="9"/>
        <v>4.3991903715715755E-4</v>
      </c>
      <c r="W41" s="60">
        <f t="shared" si="3"/>
        <v>1.3572312054064245E-3</v>
      </c>
      <c r="X41" s="60">
        <f t="shared" si="4"/>
        <v>1.025482801815398E-3</v>
      </c>
      <c r="Y41" s="232">
        <f t="shared" si="5"/>
        <v>0</v>
      </c>
      <c r="Z41" s="232">
        <f t="shared" si="6"/>
        <v>0</v>
      </c>
      <c r="AA41" s="252">
        <f>MIN(D41,F41,H41,J41,L41,N41,P41,R41)</f>
        <v>0</v>
      </c>
      <c r="AB41" s="252">
        <f t="shared" si="8"/>
        <v>3.5062744131040984E-3</v>
      </c>
    </row>
    <row r="42" spans="1:28" ht="25.5" x14ac:dyDescent="0.25">
      <c r="A42" s="602"/>
      <c r="B42" s="203" t="s">
        <v>70</v>
      </c>
      <c r="C42" s="176">
        <f>'ISS E15 PB BAN'!G54</f>
        <v>0</v>
      </c>
      <c r="D42" s="96">
        <f>'ISS E15 PB BAN'!H54</f>
        <v>0</v>
      </c>
      <c r="E42" s="96">
        <f>'ISS E15 PB PAR'!G54</f>
        <v>0</v>
      </c>
      <c r="F42" s="96">
        <f>'ISS E15 PB PAR'!H54</f>
        <v>0</v>
      </c>
      <c r="G42" s="96">
        <f>'IVR E15 PB BAN'!G54</f>
        <v>0</v>
      </c>
      <c r="H42" s="96">
        <f>'IVR E15 PB BAN'!H54</f>
        <v>0</v>
      </c>
      <c r="I42" s="96">
        <f>'IVR E15 PB PAR'!G54</f>
        <v>0</v>
      </c>
      <c r="J42" s="96">
        <f>'IVR E15 PB PAR'!H54</f>
        <v>0</v>
      </c>
      <c r="K42" s="96">
        <f>'ROM E15 PB BAN'!G54</f>
        <v>0</v>
      </c>
      <c r="L42" s="96">
        <f>'ROM E15 PB BAN'!H54</f>
        <v>0</v>
      </c>
      <c r="M42" s="96">
        <f>'ROM E15 PB PAR'!G54</f>
        <v>0</v>
      </c>
      <c r="N42" s="96">
        <f>'ROM E15 PB PAR'!H54</f>
        <v>0</v>
      </c>
      <c r="O42" s="96">
        <f>'STO E15 PB BAN'!G54</f>
        <v>0</v>
      </c>
      <c r="P42" s="96">
        <f>'STO E15 PB BAN'!H54</f>
        <v>0</v>
      </c>
      <c r="Q42" s="96">
        <f>'STO E15 PB PAR '!G54</f>
        <v>0</v>
      </c>
      <c r="R42" s="96">
        <f>'STO E15 PB PAR '!H54</f>
        <v>0</v>
      </c>
      <c r="S42" s="60">
        <f t="shared" si="0"/>
        <v>0</v>
      </c>
      <c r="T42" s="60">
        <f t="shared" si="1"/>
        <v>0</v>
      </c>
      <c r="U42" s="60">
        <f t="shared" si="2"/>
        <v>0</v>
      </c>
      <c r="V42" s="60">
        <f t="shared" si="9"/>
        <v>0</v>
      </c>
      <c r="W42" s="60">
        <f t="shared" si="3"/>
        <v>0</v>
      </c>
      <c r="X42" s="60">
        <f t="shared" si="4"/>
        <v>0</v>
      </c>
      <c r="Y42" s="232">
        <f t="shared" si="5"/>
        <v>0</v>
      </c>
      <c r="Z42" s="232">
        <f t="shared" si="6"/>
        <v>0</v>
      </c>
      <c r="AA42" s="252">
        <f t="shared" si="7"/>
        <v>0</v>
      </c>
      <c r="AB42" s="252">
        <f t="shared" si="8"/>
        <v>0</v>
      </c>
    </row>
    <row r="43" spans="1:28" x14ac:dyDescent="0.25">
      <c r="A43" s="602"/>
      <c r="B43" s="203" t="s">
        <v>71</v>
      </c>
      <c r="C43" s="176">
        <f>'ISS E15 PB BAN'!G55</f>
        <v>0</v>
      </c>
      <c r="D43" s="96">
        <f>'ISS E15 PB BAN'!H55</f>
        <v>0</v>
      </c>
      <c r="E43" s="96">
        <f>'ISS E15 PB PAR'!G55</f>
        <v>0</v>
      </c>
      <c r="F43" s="96">
        <f>'ISS E15 PB PAR'!H55</f>
        <v>0</v>
      </c>
      <c r="G43" s="96">
        <f>'IVR E15 PB BAN'!G55</f>
        <v>0</v>
      </c>
      <c r="H43" s="96">
        <f>'IVR E15 PB BAN'!H55</f>
        <v>0</v>
      </c>
      <c r="I43" s="96">
        <f>'IVR E15 PB PAR'!G55</f>
        <v>0</v>
      </c>
      <c r="J43" s="96">
        <f>'IVR E15 PB PAR'!H55</f>
        <v>0</v>
      </c>
      <c r="K43" s="96">
        <f>'ROM E15 PB BAN'!G55</f>
        <v>0</v>
      </c>
      <c r="L43" s="96">
        <f>'ROM E15 PB BAN'!H55</f>
        <v>0</v>
      </c>
      <c r="M43" s="96">
        <f>'ROM E15 PB PAR'!G55</f>
        <v>0</v>
      </c>
      <c r="N43" s="96">
        <f>'ROM E15 PB PAR'!H55</f>
        <v>0</v>
      </c>
      <c r="O43" s="96">
        <f>'STO E15 PB BAN'!G55</f>
        <v>1.2245655754865681E-3</v>
      </c>
      <c r="P43" s="96">
        <f>'STO E15 PB BAN'!H55</f>
        <v>1.1000000000000001E-3</v>
      </c>
      <c r="Q43" s="96">
        <f>'STO E15 PB PAR '!G55</f>
        <v>9.6492616118917067E-3</v>
      </c>
      <c r="R43" s="96">
        <f>'STO E15 PB PAR '!H55</f>
        <v>0.01</v>
      </c>
      <c r="S43" s="60">
        <f t="shared" si="0"/>
        <v>1.3592283984222844E-3</v>
      </c>
      <c r="T43" s="60">
        <f t="shared" si="1"/>
        <v>1.3875000000000001E-3</v>
      </c>
      <c r="U43" s="60">
        <f t="shared" si="2"/>
        <v>2.4123154029729267E-3</v>
      </c>
      <c r="V43" s="60">
        <f t="shared" si="9"/>
        <v>2.5000000000000001E-3</v>
      </c>
      <c r="W43" s="60">
        <f t="shared" si="3"/>
        <v>3.0614139387164202E-4</v>
      </c>
      <c r="X43" s="60">
        <f t="shared" si="4"/>
        <v>2.7500000000000002E-4</v>
      </c>
      <c r="Y43" s="232">
        <f t="shared" si="5"/>
        <v>0</v>
      </c>
      <c r="Z43" s="232">
        <f t="shared" si="6"/>
        <v>0</v>
      </c>
      <c r="AA43" s="252">
        <f t="shared" si="7"/>
        <v>0</v>
      </c>
      <c r="AB43" s="252">
        <f t="shared" si="8"/>
        <v>0.01</v>
      </c>
    </row>
    <row r="44" spans="1:28" x14ac:dyDescent="0.25">
      <c r="A44" s="602"/>
      <c r="B44" s="203" t="s">
        <v>72</v>
      </c>
      <c r="C44" s="176">
        <f>'ISS E15 PB BAN'!G56</f>
        <v>0</v>
      </c>
      <c r="D44" s="96">
        <f>'ISS E15 PB BAN'!H56</f>
        <v>0</v>
      </c>
      <c r="E44" s="96">
        <f>'ISS E15 PB PAR'!G56</f>
        <v>0</v>
      </c>
      <c r="F44" s="96">
        <f>'ISS E15 PB PAR'!H56</f>
        <v>0</v>
      </c>
      <c r="G44" s="96">
        <f>'IVR E15 PB BAN'!G56</f>
        <v>0</v>
      </c>
      <c r="H44" s="96">
        <f>'IVR E15 PB BAN'!H56</f>
        <v>0</v>
      </c>
      <c r="I44" s="96">
        <f>'IVR E15 PB PAR'!G56</f>
        <v>0</v>
      </c>
      <c r="J44" s="96">
        <f>'IVR E15 PB PAR'!H56</f>
        <v>0</v>
      </c>
      <c r="K44" s="96">
        <f>'ROM E15 PB BAN'!G56</f>
        <v>0</v>
      </c>
      <c r="L44" s="96">
        <f>'ROM E15 PB BAN'!H56</f>
        <v>0</v>
      </c>
      <c r="M44" s="96">
        <f>'ROM E15 PB PAR'!G56</f>
        <v>0</v>
      </c>
      <c r="N44" s="96">
        <f>'ROM E15 PB PAR'!H56</f>
        <v>0</v>
      </c>
      <c r="O44" s="96">
        <f>'STO E15 PB BAN'!G56</f>
        <v>0</v>
      </c>
      <c r="P44" s="96">
        <f>'STO E15 PB BAN'!H56</f>
        <v>0</v>
      </c>
      <c r="Q44" s="96">
        <f>'STO E15 PB PAR '!G56</f>
        <v>0</v>
      </c>
      <c r="R44" s="96">
        <f>'STO E15 PB PAR '!H56</f>
        <v>0</v>
      </c>
      <c r="S44" s="60">
        <f t="shared" si="0"/>
        <v>0</v>
      </c>
      <c r="T44" s="60">
        <f t="shared" si="1"/>
        <v>0</v>
      </c>
      <c r="U44" s="60">
        <f t="shared" si="2"/>
        <v>0</v>
      </c>
      <c r="V44" s="60">
        <f t="shared" si="9"/>
        <v>0</v>
      </c>
      <c r="W44" s="60">
        <f t="shared" si="3"/>
        <v>0</v>
      </c>
      <c r="X44" s="60">
        <f t="shared" si="4"/>
        <v>0</v>
      </c>
      <c r="Y44" s="232">
        <f t="shared" si="5"/>
        <v>0</v>
      </c>
      <c r="Z44" s="232">
        <f t="shared" si="6"/>
        <v>0</v>
      </c>
      <c r="AA44" s="252">
        <f t="shared" si="7"/>
        <v>0</v>
      </c>
      <c r="AB44" s="252">
        <f t="shared" si="8"/>
        <v>0</v>
      </c>
    </row>
    <row r="45" spans="1:28" ht="25.5" x14ac:dyDescent="0.25">
      <c r="A45" s="602"/>
      <c r="B45" s="203" t="s">
        <v>122</v>
      </c>
      <c r="C45" s="176">
        <f>'ISS E15 PB BAN'!G57</f>
        <v>0</v>
      </c>
      <c r="D45" s="96">
        <f>'ISS E15 PB BAN'!H57</f>
        <v>0</v>
      </c>
      <c r="E45" s="96">
        <f>'ISS E15 PB PAR'!G57</f>
        <v>0</v>
      </c>
      <c r="F45" s="96">
        <f>'ISS E15 PB PAR'!H57</f>
        <v>0</v>
      </c>
      <c r="G45" s="96">
        <f>'IVR E15 PB BAN'!G57</f>
        <v>0</v>
      </c>
      <c r="H45" s="96">
        <f>'IVR E15 PB BAN'!H57</f>
        <v>0</v>
      </c>
      <c r="I45" s="96">
        <f>'IVR E15 PB PAR'!G57</f>
        <v>0</v>
      </c>
      <c r="J45" s="96">
        <f>'IVR E15 PB PAR'!H57</f>
        <v>0</v>
      </c>
      <c r="K45" s="96">
        <f>'ROM E15 PB BAN'!G57</f>
        <v>0</v>
      </c>
      <c r="L45" s="96">
        <f>'ROM E15 PB BAN'!H57</f>
        <v>0</v>
      </c>
      <c r="M45" s="96">
        <f>'ROM E15 PB PAR'!G57</f>
        <v>0</v>
      </c>
      <c r="N45" s="96">
        <f>'ROM E15 PB PAR'!H57</f>
        <v>0</v>
      </c>
      <c r="O45" s="96">
        <f>'STO E15 PB BAN'!G57</f>
        <v>0</v>
      </c>
      <c r="P45" s="96">
        <f>'STO E15 PB BAN'!H57</f>
        <v>0</v>
      </c>
      <c r="Q45" s="96">
        <f>'STO E15 PB PAR '!G57</f>
        <v>0</v>
      </c>
      <c r="R45" s="96">
        <f>'STO E15 PB PAR '!H57</f>
        <v>0</v>
      </c>
      <c r="S45" s="60">
        <f t="shared" si="0"/>
        <v>0</v>
      </c>
      <c r="T45" s="60">
        <f t="shared" si="1"/>
        <v>0</v>
      </c>
      <c r="U45" s="60">
        <f t="shared" si="2"/>
        <v>0</v>
      </c>
      <c r="V45" s="60">
        <f t="shared" si="9"/>
        <v>0</v>
      </c>
      <c r="W45" s="60">
        <f t="shared" si="3"/>
        <v>0</v>
      </c>
      <c r="X45" s="60">
        <f t="shared" si="4"/>
        <v>0</v>
      </c>
      <c r="Y45" s="232">
        <f t="shared" si="5"/>
        <v>0</v>
      </c>
      <c r="Z45" s="232">
        <f t="shared" si="6"/>
        <v>0</v>
      </c>
      <c r="AA45" s="252">
        <f t="shared" si="7"/>
        <v>0</v>
      </c>
      <c r="AB45" s="252">
        <f t="shared" si="8"/>
        <v>0</v>
      </c>
    </row>
    <row r="46" spans="1:28" x14ac:dyDescent="0.25">
      <c r="A46" s="602"/>
      <c r="B46" s="203" t="s">
        <v>123</v>
      </c>
      <c r="C46" s="176">
        <f>'ISS E15 PB BAN'!G58</f>
        <v>0</v>
      </c>
      <c r="D46" s="96">
        <f>'ISS E15 PB BAN'!H58</f>
        <v>0</v>
      </c>
      <c r="E46" s="96">
        <f>'ISS E15 PB PAR'!G58</f>
        <v>0</v>
      </c>
      <c r="F46" s="96">
        <f>'ISS E15 PB PAR'!H58</f>
        <v>0</v>
      </c>
      <c r="G46" s="96">
        <f>'IVR E15 PB BAN'!G58</f>
        <v>0</v>
      </c>
      <c r="H46" s="96">
        <f>'IVR E15 PB BAN'!H58</f>
        <v>0</v>
      </c>
      <c r="I46" s="96">
        <f>'IVR E15 PB PAR'!G58</f>
        <v>0</v>
      </c>
      <c r="J46" s="96">
        <f>'IVR E15 PB PAR'!H58</f>
        <v>0</v>
      </c>
      <c r="K46" s="96">
        <f>'ROM E15 PB BAN'!G58</f>
        <v>0</v>
      </c>
      <c r="L46" s="96">
        <f>'ROM E15 PB BAN'!H58</f>
        <v>0</v>
      </c>
      <c r="M46" s="96">
        <f>'ROM E15 PB PAR'!G58</f>
        <v>0</v>
      </c>
      <c r="N46" s="96">
        <f>'ROM E15 PB PAR'!H58</f>
        <v>0</v>
      </c>
      <c r="O46" s="96">
        <f>'STO E15 PB BAN'!G58</f>
        <v>0</v>
      </c>
      <c r="P46" s="96">
        <f>'STO E15 PB BAN'!H58</f>
        <v>0</v>
      </c>
      <c r="Q46" s="96">
        <f>'STO E15 PB PAR '!G58</f>
        <v>0</v>
      </c>
      <c r="R46" s="96">
        <f>'STO E15 PB PAR '!H58</f>
        <v>0</v>
      </c>
      <c r="S46" s="60">
        <f t="shared" si="0"/>
        <v>0</v>
      </c>
      <c r="T46" s="60">
        <f t="shared" si="1"/>
        <v>0</v>
      </c>
      <c r="U46" s="60">
        <f t="shared" si="2"/>
        <v>0</v>
      </c>
      <c r="V46" s="60">
        <f t="shared" si="9"/>
        <v>0</v>
      </c>
      <c r="W46" s="60">
        <f t="shared" si="3"/>
        <v>0</v>
      </c>
      <c r="X46" s="60">
        <f t="shared" si="4"/>
        <v>0</v>
      </c>
      <c r="Y46" s="232">
        <f t="shared" si="5"/>
        <v>0</v>
      </c>
      <c r="Z46" s="232">
        <f t="shared" si="6"/>
        <v>0</v>
      </c>
      <c r="AA46" s="252">
        <f t="shared" si="7"/>
        <v>0</v>
      </c>
      <c r="AB46" s="252">
        <f t="shared" si="8"/>
        <v>0</v>
      </c>
    </row>
    <row r="47" spans="1:28" x14ac:dyDescent="0.25">
      <c r="A47" s="602"/>
      <c r="B47" s="203" t="s">
        <v>124</v>
      </c>
      <c r="C47" s="176">
        <f>'ISS E15 PB BAN'!G59</f>
        <v>0</v>
      </c>
      <c r="D47" s="96">
        <f>'ISS E15 PB BAN'!H59</f>
        <v>0</v>
      </c>
      <c r="E47" s="96">
        <f>'ISS E15 PB PAR'!G59</f>
        <v>0</v>
      </c>
      <c r="F47" s="96">
        <f>'ISS E15 PB PAR'!H59</f>
        <v>0</v>
      </c>
      <c r="G47" s="96">
        <f>'IVR E15 PB BAN'!G59</f>
        <v>0</v>
      </c>
      <c r="H47" s="96">
        <f>'IVR E15 PB BAN'!H59</f>
        <v>0</v>
      </c>
      <c r="I47" s="96">
        <f>'IVR E15 PB PAR'!G59</f>
        <v>0</v>
      </c>
      <c r="J47" s="96">
        <f>'IVR E15 PB PAR'!H59</f>
        <v>0</v>
      </c>
      <c r="K47" s="96">
        <f>'ROM E15 PB BAN'!G59</f>
        <v>0</v>
      </c>
      <c r="L47" s="96">
        <f>'ROM E15 PB BAN'!H59</f>
        <v>0</v>
      </c>
      <c r="M47" s="96">
        <f>'ROM E15 PB PAR'!G59</f>
        <v>0</v>
      </c>
      <c r="N47" s="96">
        <f>'ROM E15 PB PAR'!H59</f>
        <v>0</v>
      </c>
      <c r="O47" s="96">
        <f>'STO E15 PB BAN'!G59</f>
        <v>0</v>
      </c>
      <c r="P47" s="96">
        <f>'STO E15 PB BAN'!H59</f>
        <v>0</v>
      </c>
      <c r="Q47" s="96">
        <f>'STO E15 PB PAR '!G59</f>
        <v>0</v>
      </c>
      <c r="R47" s="96">
        <f>'STO E15 PB PAR '!H59</f>
        <v>0</v>
      </c>
      <c r="S47" s="60">
        <f t="shared" si="0"/>
        <v>0</v>
      </c>
      <c r="T47" s="60">
        <f t="shared" si="1"/>
        <v>0</v>
      </c>
      <c r="U47" s="60">
        <f t="shared" si="2"/>
        <v>0</v>
      </c>
      <c r="V47" s="60">
        <f t="shared" si="9"/>
        <v>0</v>
      </c>
      <c r="W47" s="60">
        <f t="shared" si="3"/>
        <v>0</v>
      </c>
      <c r="X47" s="60">
        <f t="shared" si="4"/>
        <v>0</v>
      </c>
      <c r="Y47" s="232">
        <f t="shared" si="5"/>
        <v>0</v>
      </c>
      <c r="Z47" s="232">
        <f t="shared" si="6"/>
        <v>0</v>
      </c>
      <c r="AA47" s="252">
        <f t="shared" si="7"/>
        <v>0</v>
      </c>
      <c r="AB47" s="252">
        <f t="shared" si="8"/>
        <v>0</v>
      </c>
    </row>
    <row r="48" spans="1:28" x14ac:dyDescent="0.25">
      <c r="A48" s="602"/>
      <c r="B48" s="203" t="s">
        <v>125</v>
      </c>
      <c r="C48" s="176">
        <f>'ISS E15 PB BAN'!G60</f>
        <v>0</v>
      </c>
      <c r="D48" s="96">
        <f>'ISS E15 PB BAN'!H60</f>
        <v>0</v>
      </c>
      <c r="E48" s="96">
        <f>'ISS E15 PB PAR'!G60</f>
        <v>0</v>
      </c>
      <c r="F48" s="96">
        <f>'ISS E15 PB PAR'!H60</f>
        <v>0</v>
      </c>
      <c r="G48" s="96">
        <f>'IVR E15 PB BAN'!G60</f>
        <v>0</v>
      </c>
      <c r="H48" s="96">
        <f>'IVR E15 PB BAN'!H60</f>
        <v>0</v>
      </c>
      <c r="I48" s="96">
        <f>'IVR E15 PB PAR'!G60</f>
        <v>0</v>
      </c>
      <c r="J48" s="96">
        <f>'IVR E15 PB PAR'!H60</f>
        <v>0</v>
      </c>
      <c r="K48" s="96">
        <f>'ROM E15 PB BAN'!G60</f>
        <v>0</v>
      </c>
      <c r="L48" s="96">
        <f>'ROM E15 PB BAN'!H60</f>
        <v>0</v>
      </c>
      <c r="M48" s="96">
        <f>'ROM E15 PB PAR'!G60</f>
        <v>0</v>
      </c>
      <c r="N48" s="96">
        <f>'ROM E15 PB PAR'!H60</f>
        <v>0</v>
      </c>
      <c r="O48" s="96">
        <f>'STO E15 PB BAN'!G60</f>
        <v>0</v>
      </c>
      <c r="P48" s="96">
        <f>'STO E15 PB BAN'!H60</f>
        <v>0</v>
      </c>
      <c r="Q48" s="96">
        <f>'STO E15 PB PAR '!G60</f>
        <v>0</v>
      </c>
      <c r="R48" s="96">
        <f>'STO E15 PB PAR '!H60</f>
        <v>0</v>
      </c>
      <c r="S48" s="60">
        <f t="shared" si="0"/>
        <v>0</v>
      </c>
      <c r="T48" s="60">
        <f t="shared" si="1"/>
        <v>0</v>
      </c>
      <c r="U48" s="60">
        <f t="shared" si="2"/>
        <v>0</v>
      </c>
      <c r="V48" s="60">
        <f t="shared" si="9"/>
        <v>0</v>
      </c>
      <c r="W48" s="60">
        <f t="shared" si="3"/>
        <v>0</v>
      </c>
      <c r="X48" s="60">
        <f t="shared" si="4"/>
        <v>0</v>
      </c>
      <c r="Y48" s="232">
        <f t="shared" si="5"/>
        <v>0</v>
      </c>
      <c r="Z48" s="232">
        <f t="shared" si="6"/>
        <v>0</v>
      </c>
      <c r="AA48" s="252">
        <f t="shared" si="7"/>
        <v>0</v>
      </c>
      <c r="AB48" s="252">
        <f t="shared" si="8"/>
        <v>0</v>
      </c>
    </row>
    <row r="49" spans="1:28" x14ac:dyDescent="0.25">
      <c r="A49" s="602"/>
      <c r="B49" s="203" t="s">
        <v>126</v>
      </c>
      <c r="C49" s="176">
        <f>'ISS E15 PB BAN'!G61</f>
        <v>0</v>
      </c>
      <c r="D49" s="96">
        <f>'ISS E15 PB BAN'!H61</f>
        <v>0</v>
      </c>
      <c r="E49" s="96">
        <f>'ISS E15 PB PAR'!G61</f>
        <v>1.6248120319585339E-3</v>
      </c>
      <c r="F49" s="96">
        <f>'ISS E15 PB PAR'!H61</f>
        <v>1.4309554302764985E-3</v>
      </c>
      <c r="G49" s="96">
        <f>'IVR E15 PB BAN'!G61</f>
        <v>0</v>
      </c>
      <c r="H49" s="96">
        <f>'IVR E15 PB BAN'!H61</f>
        <v>0</v>
      </c>
      <c r="I49" s="96">
        <f>'IVR E15 PB PAR'!G61</f>
        <v>0</v>
      </c>
      <c r="J49" s="96">
        <f>'IVR E15 PB PAR'!H61</f>
        <v>0</v>
      </c>
      <c r="K49" s="96">
        <f>'ROM E15 PB BAN'!G61</f>
        <v>0</v>
      </c>
      <c r="L49" s="96">
        <f>'ROM E15 PB BAN'!H61</f>
        <v>0</v>
      </c>
      <c r="M49" s="96">
        <f>'ROM E15 PB PAR'!G61</f>
        <v>0</v>
      </c>
      <c r="N49" s="96">
        <f>'ROM E15 PB PAR'!H61</f>
        <v>0</v>
      </c>
      <c r="O49" s="96">
        <f>'STO E15 PB BAN'!G61</f>
        <v>0</v>
      </c>
      <c r="P49" s="96">
        <f>'STO E15 PB BAN'!H61</f>
        <v>0</v>
      </c>
      <c r="Q49" s="96">
        <f>'STO E15 PB PAR '!G61</f>
        <v>0</v>
      </c>
      <c r="R49" s="96">
        <f>'STO E15 PB PAR '!H61</f>
        <v>0</v>
      </c>
      <c r="S49" s="60">
        <f t="shared" si="0"/>
        <v>2.0310150399481674E-4</v>
      </c>
      <c r="T49" s="60">
        <f t="shared" si="1"/>
        <v>1.7886942878456231E-4</v>
      </c>
      <c r="U49" s="60">
        <f t="shared" si="2"/>
        <v>4.0620300798963348E-4</v>
      </c>
      <c r="V49" s="60">
        <f t="shared" si="9"/>
        <v>3.5773885756912462E-4</v>
      </c>
      <c r="W49" s="60">
        <f t="shared" si="3"/>
        <v>0</v>
      </c>
      <c r="X49" s="60">
        <f t="shared" si="4"/>
        <v>0</v>
      </c>
      <c r="Y49" s="232">
        <f t="shared" si="5"/>
        <v>0</v>
      </c>
      <c r="Z49" s="232">
        <f t="shared" si="6"/>
        <v>0</v>
      </c>
      <c r="AA49" s="252">
        <f t="shared" si="7"/>
        <v>0</v>
      </c>
      <c r="AB49" s="252">
        <f t="shared" si="8"/>
        <v>1.4309554302764985E-3</v>
      </c>
    </row>
    <row r="50" spans="1:28" ht="25.5" x14ac:dyDescent="0.25">
      <c r="A50" s="602"/>
      <c r="B50" s="203" t="s">
        <v>73</v>
      </c>
      <c r="C50" s="176">
        <f>'ISS E15 PB BAN'!G62</f>
        <v>0</v>
      </c>
      <c r="D50" s="96">
        <f>'ISS E15 PB BAN'!H62</f>
        <v>0</v>
      </c>
      <c r="E50" s="96">
        <f>'ISS E15 PB PAR'!G62</f>
        <v>0</v>
      </c>
      <c r="F50" s="96">
        <f>'ISS E15 PB PAR'!H62</f>
        <v>0</v>
      </c>
      <c r="G50" s="96">
        <f>'IVR E15 PB BAN'!G62</f>
        <v>0</v>
      </c>
      <c r="H50" s="96">
        <f>'IVR E15 PB BAN'!H62</f>
        <v>0</v>
      </c>
      <c r="I50" s="96">
        <f>'IVR E15 PB PAR'!G62</f>
        <v>0</v>
      </c>
      <c r="J50" s="96">
        <f>'IVR E15 PB PAR'!H62</f>
        <v>0</v>
      </c>
      <c r="K50" s="96">
        <f>'ROM E15 PB BAN'!G62</f>
        <v>0</v>
      </c>
      <c r="L50" s="96">
        <f>'ROM E15 PB BAN'!H62</f>
        <v>0</v>
      </c>
      <c r="M50" s="96">
        <f>'ROM E15 PB PAR'!G62</f>
        <v>0</v>
      </c>
      <c r="N50" s="96">
        <f>'ROM E15 PB PAR'!H62</f>
        <v>0</v>
      </c>
      <c r="O50" s="96">
        <f>'STO E15 PB BAN'!G62</f>
        <v>0</v>
      </c>
      <c r="P50" s="96">
        <f>'STO E15 PB BAN'!H62</f>
        <v>0</v>
      </c>
      <c r="Q50" s="96">
        <f>'STO E15 PB PAR '!G62</f>
        <v>0</v>
      </c>
      <c r="R50" s="96">
        <f>'STO E15 PB PAR '!H62</f>
        <v>0</v>
      </c>
      <c r="S50" s="60">
        <f t="shared" si="0"/>
        <v>0</v>
      </c>
      <c r="T50" s="60">
        <f t="shared" si="1"/>
        <v>0</v>
      </c>
      <c r="U50" s="60">
        <f t="shared" si="2"/>
        <v>0</v>
      </c>
      <c r="V50" s="60">
        <f t="shared" si="9"/>
        <v>0</v>
      </c>
      <c r="W50" s="60">
        <f t="shared" si="3"/>
        <v>0</v>
      </c>
      <c r="X50" s="60">
        <f t="shared" si="4"/>
        <v>0</v>
      </c>
      <c r="Y50" s="232">
        <f t="shared" si="5"/>
        <v>0</v>
      </c>
      <c r="Z50" s="232">
        <f t="shared" si="6"/>
        <v>0</v>
      </c>
      <c r="AA50" s="252">
        <f t="shared" si="7"/>
        <v>0</v>
      </c>
      <c r="AB50" s="252">
        <f t="shared" si="8"/>
        <v>0</v>
      </c>
    </row>
    <row r="51" spans="1:28" x14ac:dyDescent="0.25">
      <c r="A51" s="604" t="s">
        <v>74</v>
      </c>
      <c r="B51" s="604"/>
      <c r="C51" s="174">
        <f>'ISS E15 PB BAN'!G63</f>
        <v>0.10474130439332546</v>
      </c>
      <c r="D51" s="111">
        <f>'ISS E15 PB BAN'!H63</f>
        <v>5.1296346646459899E-2</v>
      </c>
      <c r="E51" s="111">
        <f>'ISS E15 PB PAR'!G63</f>
        <v>0.12994822477178739</v>
      </c>
      <c r="F51" s="111">
        <f>'ISS E15 PB PAR'!H63</f>
        <v>6.3691204421557859E-2</v>
      </c>
      <c r="G51" s="111">
        <f>'IVR E15 PB BAN'!G63</f>
        <v>0.13279933467030147</v>
      </c>
      <c r="H51" s="111">
        <f>'IVR E15 PB BAN'!H63</f>
        <v>6.5080468506697534E-2</v>
      </c>
      <c r="I51" s="111">
        <f>'IVR E15 PB PAR'!G63</f>
        <v>0.22159261888980461</v>
      </c>
      <c r="J51" s="111">
        <f>'IVR E15 PB PAR'!H63</f>
        <v>0.10862864027606894</v>
      </c>
      <c r="K51" s="111">
        <f>'ROM E15 PB BAN'!G63</f>
        <v>0.11725397418337274</v>
      </c>
      <c r="L51" s="111">
        <f>'ROM E15 PB BAN'!H63</f>
        <v>5.7478576959989681E-2</v>
      </c>
      <c r="M51" s="111">
        <f>'ROM E15 PB PAR'!G63</f>
        <v>0.22586103130713236</v>
      </c>
      <c r="N51" s="111">
        <f>'ROM E15 PB PAR'!H63</f>
        <v>0.11095612570054575</v>
      </c>
      <c r="O51" s="111">
        <f>'STO E15 PB BAN'!G63</f>
        <v>0.10096148148733365</v>
      </c>
      <c r="P51" s="111">
        <f>'STO E15 PB BAN'!H63</f>
        <v>4.9543442643412504E-2</v>
      </c>
      <c r="Q51" s="111">
        <f>'STO E15 PB PAR '!G63</f>
        <v>0.17721314598867788</v>
      </c>
      <c r="R51" s="111">
        <f>'STO E15 PB PAR '!H63</f>
        <v>8.7089489755693222E-2</v>
      </c>
      <c r="S51" s="62">
        <f t="shared" si="0"/>
        <v>0.15129638946146695</v>
      </c>
      <c r="T51" s="62">
        <f t="shared" si="1"/>
        <v>7.4220536863803172E-2</v>
      </c>
      <c r="U51" s="62">
        <f t="shared" si="2"/>
        <v>0.18865375523935057</v>
      </c>
      <c r="V51" s="62">
        <f t="shared" si="9"/>
        <v>9.2591365038466433E-2</v>
      </c>
      <c r="W51" s="62">
        <f t="shared" si="3"/>
        <v>0.11393902368358333</v>
      </c>
      <c r="X51" s="62">
        <f t="shared" si="4"/>
        <v>5.5849708689139903E-2</v>
      </c>
      <c r="Y51" s="232">
        <f t="shared" si="5"/>
        <v>0</v>
      </c>
      <c r="Z51" s="232">
        <f t="shared" si="6"/>
        <v>0</v>
      </c>
      <c r="AA51" s="31">
        <f t="shared" si="7"/>
        <v>4.9543442643412504E-2</v>
      </c>
      <c r="AB51" s="31">
        <f t="shared" si="8"/>
        <v>0.11095612570054575</v>
      </c>
    </row>
    <row r="52" spans="1:28" ht="14.25" customHeight="1" x14ac:dyDescent="0.25">
      <c r="A52" s="605" t="s">
        <v>25</v>
      </c>
      <c r="B52" s="605"/>
      <c r="C52" s="174">
        <f>SUM(C6:C51)</f>
        <v>1.0000000000000004</v>
      </c>
      <c r="D52" s="174">
        <f t="shared" ref="D52:Z52" si="10">SUM(D6:D51)</f>
        <v>0.99999999999999989</v>
      </c>
      <c r="E52" s="174">
        <f t="shared" si="10"/>
        <v>0.99999999999999989</v>
      </c>
      <c r="F52" s="174">
        <f t="shared" si="10"/>
        <v>1.0000000000000002</v>
      </c>
      <c r="G52" s="174">
        <f t="shared" si="10"/>
        <v>1.0000000000000004</v>
      </c>
      <c r="H52" s="174">
        <f t="shared" si="10"/>
        <v>1.0000000000000002</v>
      </c>
      <c r="I52" s="174">
        <f t="shared" si="10"/>
        <v>1</v>
      </c>
      <c r="J52" s="174">
        <f t="shared" si="10"/>
        <v>0.99999999999999978</v>
      </c>
      <c r="K52" s="174">
        <f t="shared" si="10"/>
        <v>1</v>
      </c>
      <c r="L52" s="174">
        <f t="shared" si="10"/>
        <v>1</v>
      </c>
      <c r="M52" s="174">
        <f t="shared" si="10"/>
        <v>1</v>
      </c>
      <c r="N52" s="174">
        <f t="shared" si="10"/>
        <v>1</v>
      </c>
      <c r="O52" s="174">
        <f t="shared" si="10"/>
        <v>0.99999999999999989</v>
      </c>
      <c r="P52" s="174">
        <f t="shared" si="10"/>
        <v>0.99998202558956784</v>
      </c>
      <c r="Q52" s="174">
        <f t="shared" si="10"/>
        <v>0.99999999999999989</v>
      </c>
      <c r="R52" s="174">
        <f t="shared" si="10"/>
        <v>0.99963951949721996</v>
      </c>
      <c r="S52" s="174">
        <f t="shared" si="10"/>
        <v>1</v>
      </c>
      <c r="T52" s="174">
        <f t="shared" si="10"/>
        <v>0.99995269313584845</v>
      </c>
      <c r="U52" s="174">
        <f t="shared" si="10"/>
        <v>0.99999999999999989</v>
      </c>
      <c r="V52" s="174">
        <f t="shared" si="10"/>
        <v>0.99990987987430491</v>
      </c>
      <c r="W52" s="174">
        <f t="shared" si="10"/>
        <v>1</v>
      </c>
      <c r="X52" s="174">
        <f t="shared" si="10"/>
        <v>0.99999550639739165</v>
      </c>
      <c r="Y52" s="233">
        <f t="shared" si="10"/>
        <v>0</v>
      </c>
      <c r="Z52" s="233">
        <f t="shared" si="10"/>
        <v>0</v>
      </c>
    </row>
    <row r="53" spans="1:28" hidden="1" x14ac:dyDescent="0.25">
      <c r="A53" s="170"/>
      <c r="B53" s="171"/>
      <c r="C53" s="172"/>
      <c r="D53" s="172"/>
      <c r="E53" s="111">
        <f>'ISS E15 PB PAR'!G65</f>
        <v>0</v>
      </c>
      <c r="F53" s="111">
        <f>'ISS E15 PB PAR'!H65</f>
        <v>0</v>
      </c>
      <c r="G53" s="173"/>
      <c r="H53" s="173"/>
      <c r="I53" s="173"/>
      <c r="J53" s="173"/>
      <c r="K53" s="173"/>
      <c r="L53" s="173"/>
      <c r="M53" s="173"/>
      <c r="N53" s="173"/>
      <c r="O53" s="173"/>
      <c r="P53" s="173"/>
      <c r="Q53" s="173"/>
      <c r="R53" s="173"/>
      <c r="S53" s="173"/>
      <c r="T53" s="173"/>
      <c r="U53" s="173"/>
      <c r="V53" s="173"/>
      <c r="W53" s="173"/>
      <c r="X53" s="173"/>
    </row>
    <row r="55" spans="1:28" x14ac:dyDescent="0.25">
      <c r="B55" s="27"/>
      <c r="C55" s="593" t="str">
        <f>C1</f>
        <v>ISS-E15-PB-BAN</v>
      </c>
      <c r="D55" s="593"/>
      <c r="E55" s="593" t="str">
        <f>E1</f>
        <v>ISS-E15-PB-PAR</v>
      </c>
      <c r="F55" s="593"/>
      <c r="G55" s="593" t="str">
        <f>G1</f>
        <v>IVR-E15-PB-BAN</v>
      </c>
      <c r="H55" s="593"/>
      <c r="I55" s="593" t="str">
        <f>I1</f>
        <v>IVR-E15-PB-PAR</v>
      </c>
      <c r="J55" s="593"/>
      <c r="K55" s="593" t="str">
        <f>K1</f>
        <v>ROM-E15-PB-BAN</v>
      </c>
      <c r="L55" s="593"/>
      <c r="M55" s="593" t="str">
        <f>M1</f>
        <v>ROM-E15-PB-PAR</v>
      </c>
      <c r="N55" s="593"/>
      <c r="O55" s="593" t="str">
        <f>O1</f>
        <v>STO-E15-PB-BAN</v>
      </c>
      <c r="P55" s="593"/>
      <c r="Q55" s="593" t="str">
        <f>Q1</f>
        <v>STO-E15-PB-PAR</v>
      </c>
      <c r="R55" s="593"/>
      <c r="S55" s="613" t="s">
        <v>76</v>
      </c>
      <c r="T55" s="614"/>
      <c r="U55" s="615" t="s">
        <v>77</v>
      </c>
      <c r="V55" s="615"/>
      <c r="W55" s="615" t="s">
        <v>78</v>
      </c>
      <c r="X55" s="615"/>
    </row>
    <row r="56" spans="1:28" x14ac:dyDescent="0.25">
      <c r="B56" s="27"/>
      <c r="C56" s="29" t="s">
        <v>80</v>
      </c>
      <c r="D56" s="29" t="s">
        <v>81</v>
      </c>
      <c r="E56" s="29" t="s">
        <v>80</v>
      </c>
      <c r="F56" s="29" t="s">
        <v>81</v>
      </c>
      <c r="G56" s="29" t="s">
        <v>80</v>
      </c>
      <c r="H56" s="29" t="s">
        <v>81</v>
      </c>
      <c r="I56" s="29" t="s">
        <v>80</v>
      </c>
      <c r="J56" s="29" t="s">
        <v>81</v>
      </c>
      <c r="K56" s="29" t="s">
        <v>80</v>
      </c>
      <c r="L56" s="29" t="s">
        <v>81</v>
      </c>
      <c r="M56" s="29" t="s">
        <v>80</v>
      </c>
      <c r="N56" s="29" t="s">
        <v>81</v>
      </c>
      <c r="O56" s="29" t="s">
        <v>80</v>
      </c>
      <c r="P56" s="29" t="s">
        <v>81</v>
      </c>
      <c r="Q56" s="29" t="s">
        <v>80</v>
      </c>
      <c r="R56" s="29" t="s">
        <v>81</v>
      </c>
      <c r="S56" s="29" t="s">
        <v>80</v>
      </c>
      <c r="T56" s="29" t="s">
        <v>81</v>
      </c>
      <c r="U56" s="29" t="s">
        <v>80</v>
      </c>
      <c r="V56" s="29" t="s">
        <v>81</v>
      </c>
      <c r="W56" s="29" t="s">
        <v>80</v>
      </c>
      <c r="X56" s="29" t="s">
        <v>81</v>
      </c>
      <c r="Y56" s="69" t="s">
        <v>100</v>
      </c>
    </row>
    <row r="57" spans="1:28" x14ac:dyDescent="0.25">
      <c r="A57" s="39">
        <f>AVERAGE(F57,H57,J57,L57,N57,P57,R57)</f>
        <v>0.21509097085337986</v>
      </c>
      <c r="B57" s="30" t="s">
        <v>82</v>
      </c>
      <c r="C57" s="31">
        <f>SUM(C6:C10)</f>
        <v>0.26598187124232309</v>
      </c>
      <c r="D57" s="31">
        <f t="shared" ref="D57:X57" si="11">SUM(D6:D10)</f>
        <v>0.47361186175412662</v>
      </c>
      <c r="E57" s="31">
        <f t="shared" si="11"/>
        <v>0.1221514648774252</v>
      </c>
      <c r="F57" s="31">
        <f t="shared" si="11"/>
        <v>0.25735387734426213</v>
      </c>
      <c r="G57" s="31">
        <f t="shared" si="11"/>
        <v>0.16736654279693255</v>
      </c>
      <c r="H57" s="31">
        <f t="shared" si="11"/>
        <v>0.33408422817223715</v>
      </c>
      <c r="I57" s="31">
        <f t="shared" si="11"/>
        <v>9.7211431988088889E-2</v>
      </c>
      <c r="J57" s="31">
        <f t="shared" si="11"/>
        <v>0.220693653825137</v>
      </c>
      <c r="K57" s="31">
        <f t="shared" si="11"/>
        <v>0.15537708047980739</v>
      </c>
      <c r="L57" s="31">
        <f t="shared" si="11"/>
        <v>0.31087639415137225</v>
      </c>
      <c r="M57" s="31">
        <f t="shared" si="11"/>
        <v>4.5403101567438466E-2</v>
      </c>
      <c r="N57" s="195">
        <f t="shared" si="11"/>
        <v>0.11439580058815048</v>
      </c>
      <c r="O57" s="31">
        <f t="shared" si="11"/>
        <v>8.0230771357806194E-2</v>
      </c>
      <c r="P57" s="31">
        <f t="shared" si="11"/>
        <v>0.17566831936520871</v>
      </c>
      <c r="Q57" s="31">
        <f t="shared" si="11"/>
        <v>3.7931802842463218E-2</v>
      </c>
      <c r="R57" s="195">
        <f t="shared" si="11"/>
        <v>9.2564522527291263E-2</v>
      </c>
      <c r="S57" s="31">
        <f t="shared" si="11"/>
        <v>0.12145675839403562</v>
      </c>
      <c r="T57" s="31">
        <f>SUM(T6:T10)</f>
        <v>0.24740608221597321</v>
      </c>
      <c r="U57" s="31">
        <f t="shared" si="11"/>
        <v>7.5674450318853947E-2</v>
      </c>
      <c r="V57" s="31">
        <f>SUM(V6:V10)</f>
        <v>0.17125196357121023</v>
      </c>
      <c r="W57" s="31">
        <f t="shared" si="11"/>
        <v>0.1672390664692173</v>
      </c>
      <c r="X57" s="31">
        <f t="shared" si="11"/>
        <v>0.32356020086073622</v>
      </c>
      <c r="Y57" s="34">
        <v>0.30930000000000002</v>
      </c>
      <c r="Z57" s="39"/>
    </row>
    <row r="58" spans="1:28" x14ac:dyDescent="0.25">
      <c r="B58" s="30" t="s">
        <v>31</v>
      </c>
      <c r="C58" s="31">
        <f>SUM(C11:C15)</f>
        <v>0.20280330543617034</v>
      </c>
      <c r="D58" s="31">
        <f t="shared" ref="D58:X58" si="12">SUM(D11:D15)</f>
        <v>0.14798466266910046</v>
      </c>
      <c r="E58" s="31">
        <f t="shared" si="12"/>
        <v>8.8614876965993322E-2</v>
      </c>
      <c r="F58" s="195">
        <f t="shared" si="12"/>
        <v>7.6547687569310408E-2</v>
      </c>
      <c r="G58" s="31">
        <f t="shared" si="12"/>
        <v>0.11164108592871365</v>
      </c>
      <c r="H58" s="31">
        <f t="shared" si="12"/>
        <v>9.1236061786508366E-2</v>
      </c>
      <c r="I58" s="31">
        <f t="shared" si="12"/>
        <v>7.6565643850812215E-2</v>
      </c>
      <c r="J58" s="195">
        <f t="shared" si="12"/>
        <v>7.1222384696768809E-2</v>
      </c>
      <c r="K58" s="31">
        <f t="shared" si="12"/>
        <v>7.9556302660523839E-2</v>
      </c>
      <c r="L58" s="31">
        <f t="shared" si="12"/>
        <v>6.5161125226759251E-2</v>
      </c>
      <c r="M58" s="31">
        <f t="shared" si="12"/>
        <v>0.14695823823096346</v>
      </c>
      <c r="N58" s="31">
        <f t="shared" si="12"/>
        <v>0.15137880644288809</v>
      </c>
      <c r="O58" s="31">
        <f t="shared" si="12"/>
        <v>0.22678806325078704</v>
      </c>
      <c r="P58" s="31">
        <f t="shared" si="12"/>
        <v>0.20318869299205672</v>
      </c>
      <c r="Q58" s="31">
        <f t="shared" si="12"/>
        <v>9.0363332805874802E-2</v>
      </c>
      <c r="R58" s="31">
        <f t="shared" si="12"/>
        <v>9.0012651270101218E-2</v>
      </c>
      <c r="S58" s="31">
        <f t="shared" si="12"/>
        <v>0.12791135614122984</v>
      </c>
      <c r="T58" s="31">
        <f t="shared" si="12"/>
        <v>0.11209150908168665</v>
      </c>
      <c r="U58" s="31">
        <f t="shared" si="12"/>
        <v>0.10062552296341096</v>
      </c>
      <c r="V58" s="31">
        <f t="shared" si="12"/>
        <v>9.7290382494767139E-2</v>
      </c>
      <c r="W58" s="31">
        <f t="shared" si="12"/>
        <v>0.15519718931904875</v>
      </c>
      <c r="X58" s="31">
        <f t="shared" si="12"/>
        <v>0.1268926356686062</v>
      </c>
      <c r="Y58" s="42">
        <v>0.1033</v>
      </c>
      <c r="Z58" s="39">
        <f>AVERAGE(F58,N58,R58)</f>
        <v>0.10597971509409991</v>
      </c>
    </row>
    <row r="59" spans="1:28" x14ac:dyDescent="0.25">
      <c r="B59" s="30" t="s">
        <v>37</v>
      </c>
      <c r="C59" s="31">
        <f>SUM(C16:C18)</f>
        <v>0.11863316337812593</v>
      </c>
      <c r="D59" s="31">
        <f t="shared" ref="D59:X59" si="13">SUM(D16:D18)</f>
        <v>8.657568144486881E-2</v>
      </c>
      <c r="E59" s="31">
        <f t="shared" si="13"/>
        <v>7.1250428955386122E-2</v>
      </c>
      <c r="F59" s="31">
        <f t="shared" si="13"/>
        <v>6.1554116451049731E-2</v>
      </c>
      <c r="G59" s="31">
        <f t="shared" si="13"/>
        <v>0.10877030474866332</v>
      </c>
      <c r="H59" s="31">
        <f t="shared" si="13"/>
        <v>8.8901348466412733E-2</v>
      </c>
      <c r="I59" s="31">
        <f t="shared" si="13"/>
        <v>9.1757419364990087E-2</v>
      </c>
      <c r="J59" s="31">
        <f t="shared" si="13"/>
        <v>8.5363650241408975E-2</v>
      </c>
      <c r="K59" s="31">
        <f t="shared" si="13"/>
        <v>6.8162951894741211E-2</v>
      </c>
      <c r="L59" s="31">
        <f t="shared" si="13"/>
        <v>5.5836558778553667E-2</v>
      </c>
      <c r="M59" s="31">
        <f t="shared" si="13"/>
        <v>5.4998978004383241E-2</v>
      </c>
      <c r="N59" s="31">
        <f t="shared" si="13"/>
        <v>5.6662028043373641E-2</v>
      </c>
      <c r="O59" s="31">
        <f t="shared" si="13"/>
        <v>0.1214082701628672</v>
      </c>
      <c r="P59" s="31">
        <f t="shared" si="13"/>
        <v>0.10878955531693682</v>
      </c>
      <c r="Q59" s="31">
        <f t="shared" si="13"/>
        <v>8.1385773474864448E-2</v>
      </c>
      <c r="R59" s="31">
        <f t="shared" si="13"/>
        <v>8.1084570134523776E-2</v>
      </c>
      <c r="S59" s="31">
        <f t="shared" si="13"/>
        <v>8.9545911248002708E-2</v>
      </c>
      <c r="T59" s="31">
        <f t="shared" si="13"/>
        <v>7.8095938609641008E-2</v>
      </c>
      <c r="U59" s="31">
        <f t="shared" si="13"/>
        <v>7.4848149949905976E-2</v>
      </c>
      <c r="V59" s="31">
        <f t="shared" si="13"/>
        <v>7.1166091217589031E-2</v>
      </c>
      <c r="W59" s="31">
        <f t="shared" si="13"/>
        <v>0.10424367254609943</v>
      </c>
      <c r="X59" s="31">
        <f t="shared" si="13"/>
        <v>8.5025786001692999E-2</v>
      </c>
      <c r="Y59" s="34">
        <v>5.6899999999999999E-2</v>
      </c>
      <c r="Z59" s="39"/>
    </row>
    <row r="60" spans="1:28" x14ac:dyDescent="0.25">
      <c r="B60" s="30" t="s">
        <v>83</v>
      </c>
      <c r="C60" s="31">
        <f>SUM(C19:C22)</f>
        <v>4.9025540600427546E-3</v>
      </c>
      <c r="D60" s="31">
        <f t="shared" ref="D60:X60" si="14">SUM(D19:D22)</f>
        <v>4.5036581434452503E-3</v>
      </c>
      <c r="E60" s="31">
        <f t="shared" si="14"/>
        <v>9.7012800613187049E-3</v>
      </c>
      <c r="F60" s="31">
        <f t="shared" si="14"/>
        <v>1.055063929909914E-2</v>
      </c>
      <c r="G60" s="31">
        <f t="shared" si="14"/>
        <v>1.5540889751083718E-2</v>
      </c>
      <c r="H60" s="31">
        <f t="shared" si="14"/>
        <v>1.5987358706404158E-2</v>
      </c>
      <c r="I60" s="31">
        <f t="shared" si="14"/>
        <v>1.4973457663054924E-2</v>
      </c>
      <c r="J60" s="31">
        <f t="shared" si="14"/>
        <v>1.7534755344371614E-2</v>
      </c>
      <c r="K60" s="31">
        <f t="shared" si="14"/>
        <v>1.6591956169841875E-2</v>
      </c>
      <c r="L60" s="31">
        <f t="shared" si="14"/>
        <v>1.7106674783998362E-2</v>
      </c>
      <c r="M60" s="31">
        <f t="shared" si="14"/>
        <v>8.3590724822002506E-3</v>
      </c>
      <c r="N60" s="31">
        <f t="shared" si="14"/>
        <v>1.0837388019719865E-2</v>
      </c>
      <c r="O60" s="31">
        <f t="shared" si="14"/>
        <v>3.2451975303277501E-2</v>
      </c>
      <c r="P60" s="195">
        <f t="shared" si="14"/>
        <v>3.6597821397625366E-2</v>
      </c>
      <c r="Q60" s="31">
        <f t="shared" si="14"/>
        <v>4.9021349152783226E-3</v>
      </c>
      <c r="R60" s="31">
        <f t="shared" si="14"/>
        <v>6.1449997438087507E-3</v>
      </c>
      <c r="S60" s="31">
        <f t="shared" si="14"/>
        <v>1.3427915050762258E-2</v>
      </c>
      <c r="T60" s="31">
        <f t="shared" si="14"/>
        <v>1.4907911929809062E-2</v>
      </c>
      <c r="U60" s="31">
        <f t="shared" si="14"/>
        <v>9.4839862804630519E-3</v>
      </c>
      <c r="V60" s="31">
        <f t="shared" si="14"/>
        <v>1.1266945601749843E-2</v>
      </c>
      <c r="W60" s="31">
        <f t="shared" si="14"/>
        <v>1.7371843821061463E-2</v>
      </c>
      <c r="X60" s="31">
        <f t="shared" si="14"/>
        <v>1.8548878257868287E-2</v>
      </c>
      <c r="Y60" s="42">
        <v>1.6899999999999998E-2</v>
      </c>
      <c r="Z60" s="39"/>
    </row>
    <row r="61" spans="1:28" x14ac:dyDescent="0.25">
      <c r="B61" s="30" t="s">
        <v>46</v>
      </c>
      <c r="C61" s="31">
        <f>C23</f>
        <v>4.5958884974934416E-3</v>
      </c>
      <c r="D61" s="31">
        <f t="shared" ref="D61:X61" si="15">D23</f>
        <v>3.3514434135864723E-3</v>
      </c>
      <c r="E61" s="31">
        <f t="shared" si="15"/>
        <v>3.6615047295723298E-2</v>
      </c>
      <c r="F61" s="31">
        <f t="shared" si="15"/>
        <v>3.1610304723558684E-2</v>
      </c>
      <c r="G61" s="31">
        <f t="shared" si="15"/>
        <v>2.8076785889769289E-2</v>
      </c>
      <c r="H61" s="31">
        <f t="shared" si="15"/>
        <v>2.2928079103186443E-2</v>
      </c>
      <c r="I61" s="31">
        <f t="shared" si="15"/>
        <v>1.0021969463036427E-2</v>
      </c>
      <c r="J61" s="31">
        <f t="shared" si="15"/>
        <v>9.316441839654627E-3</v>
      </c>
      <c r="K61" s="31">
        <f t="shared" si="15"/>
        <v>3.3713111692192752E-2</v>
      </c>
      <c r="L61" s="31">
        <f t="shared" si="15"/>
        <v>2.7592197770056948E-2</v>
      </c>
      <c r="M61" s="31">
        <f t="shared" si="15"/>
        <v>5.6676280995802256E-2</v>
      </c>
      <c r="N61" s="31">
        <f t="shared" si="15"/>
        <v>5.8329386189174805E-2</v>
      </c>
      <c r="O61" s="31">
        <f t="shared" si="15"/>
        <v>1.301347812175342E-2</v>
      </c>
      <c r="P61" s="31">
        <f t="shared" si="15"/>
        <v>1.1650027683581031E-2</v>
      </c>
      <c r="Q61" s="31">
        <f t="shared" si="15"/>
        <v>5.071998088231968E-2</v>
      </c>
      <c r="R61" s="31">
        <f t="shared" si="15"/>
        <v>5.0470233977514573E-2</v>
      </c>
      <c r="S61" s="31">
        <f t="shared" si="15"/>
        <v>2.917906785476132E-2</v>
      </c>
      <c r="T61" s="31">
        <f t="shared" si="15"/>
        <v>2.6906014337539197E-2</v>
      </c>
      <c r="U61" s="31">
        <f t="shared" si="15"/>
        <v>3.8508319659220414E-2</v>
      </c>
      <c r="V61" s="31">
        <f t="shared" si="15"/>
        <v>3.7431591682475673E-2</v>
      </c>
      <c r="W61" s="31">
        <f>W23</f>
        <v>1.9849816050302227E-2</v>
      </c>
      <c r="X61" s="31">
        <f t="shared" si="15"/>
        <v>1.6380436992602724E-2</v>
      </c>
      <c r="Y61" s="34">
        <v>2.3199999999999998E-2</v>
      </c>
      <c r="Z61" s="39"/>
    </row>
    <row r="62" spans="1:28" x14ac:dyDescent="0.25">
      <c r="B62" s="30" t="s">
        <v>47</v>
      </c>
      <c r="C62" s="31">
        <f>SUM(C24:C25)</f>
        <v>3.0960936995241699E-2</v>
      </c>
      <c r="D62" s="31">
        <f t="shared" ref="D62:X62" si="16">SUM(D24:D25)</f>
        <v>2.3199147509557472E-2</v>
      </c>
      <c r="E62" s="31">
        <f t="shared" si="16"/>
        <v>0.15252860328786472</v>
      </c>
      <c r="F62" s="31">
        <f t="shared" si="16"/>
        <v>0.13523560258261563</v>
      </c>
      <c r="G62" s="31">
        <f t="shared" si="16"/>
        <v>8.733635182401521E-2</v>
      </c>
      <c r="H62" s="31">
        <f t="shared" si="16"/>
        <v>7.3355347049018263E-2</v>
      </c>
      <c r="I62" s="31">
        <f t="shared" si="16"/>
        <v>0.12924908493351139</v>
      </c>
      <c r="J62" s="31">
        <f t="shared" si="16"/>
        <v>0.12347578549446409</v>
      </c>
      <c r="K62" s="31">
        <f t="shared" si="16"/>
        <v>8.6788693811480508E-2</v>
      </c>
      <c r="L62" s="31">
        <f t="shared" si="16"/>
        <v>7.3065020770810424E-2</v>
      </c>
      <c r="M62" s="31">
        <f t="shared" si="16"/>
        <v>3.5859744349689061E-2</v>
      </c>
      <c r="N62" s="31">
        <f t="shared" si="16"/>
        <v>3.8012429271180911E-2</v>
      </c>
      <c r="O62" s="31">
        <f t="shared" si="16"/>
        <v>7.0669284340176428E-2</v>
      </c>
      <c r="P62" s="31">
        <f t="shared" si="16"/>
        <v>6.5104609187230197E-2</v>
      </c>
      <c r="Q62" s="31">
        <f t="shared" si="16"/>
        <v>7.8459993347563942E-2</v>
      </c>
      <c r="R62" s="31">
        <f t="shared" si="16"/>
        <v>8.0541849147599251E-2</v>
      </c>
      <c r="S62" s="31">
        <f t="shared" si="16"/>
        <v>8.3981586611192871E-2</v>
      </c>
      <c r="T62" s="31">
        <f t="shared" si="16"/>
        <v>7.6498723876559538E-2</v>
      </c>
      <c r="U62" s="31">
        <f t="shared" si="16"/>
        <v>9.9024356479657266E-2</v>
      </c>
      <c r="V62" s="31">
        <f t="shared" si="16"/>
        <v>9.4316416623964977E-2</v>
      </c>
      <c r="W62" s="31">
        <f t="shared" si="16"/>
        <v>6.8938816742728462E-2</v>
      </c>
      <c r="X62" s="31">
        <f t="shared" si="16"/>
        <v>5.8681031129154092E-2</v>
      </c>
      <c r="Y62" s="42">
        <v>0.105</v>
      </c>
      <c r="Z62" s="39"/>
    </row>
    <row r="63" spans="1:28" x14ac:dyDescent="0.25">
      <c r="B63" s="30" t="s">
        <v>50</v>
      </c>
      <c r="C63" s="31">
        <f>SUM(C26:C30)</f>
        <v>0.14042052311503053</v>
      </c>
      <c r="D63" s="31">
        <f t="shared" ref="D63:X63" si="17">SUM(D26:D30)</f>
        <v>0.11552624013467971</v>
      </c>
      <c r="E63" s="31">
        <f t="shared" si="17"/>
        <v>0.20939785935607008</v>
      </c>
      <c r="F63" s="31">
        <f t="shared" si="17"/>
        <v>0.20394806056663919</v>
      </c>
      <c r="G63" s="31">
        <f t="shared" si="17"/>
        <v>0.18359896779265594</v>
      </c>
      <c r="H63" s="195">
        <f t="shared" si="17"/>
        <v>0.16915924737464447</v>
      </c>
      <c r="I63" s="31">
        <f t="shared" si="17"/>
        <v>0.24267209248809579</v>
      </c>
      <c r="J63" s="31">
        <f t="shared" si="17"/>
        <v>0.25451129592325189</v>
      </c>
      <c r="K63" s="31">
        <f t="shared" si="17"/>
        <v>0.26062549288174985</v>
      </c>
      <c r="L63" s="195">
        <f t="shared" si="17"/>
        <v>0.24066412184306754</v>
      </c>
      <c r="M63" s="31">
        <f t="shared" si="17"/>
        <v>0.11409208937540929</v>
      </c>
      <c r="N63" s="31">
        <f t="shared" si="17"/>
        <v>0.13248679073301625</v>
      </c>
      <c r="O63" s="31">
        <f t="shared" si="17"/>
        <v>0.26440296502877725</v>
      </c>
      <c r="P63" s="195">
        <f t="shared" si="17"/>
        <v>0.26706364795958315</v>
      </c>
      <c r="Q63" s="31">
        <f t="shared" si="17"/>
        <v>0.21471867622981256</v>
      </c>
      <c r="R63" s="31">
        <f t="shared" si="17"/>
        <v>0.24109362039895846</v>
      </c>
      <c r="S63" s="31">
        <f t="shared" si="17"/>
        <v>0.20374108328345014</v>
      </c>
      <c r="T63" s="31">
        <f t="shared" si="17"/>
        <v>0.20305662811673011</v>
      </c>
      <c r="U63" s="31">
        <f t="shared" si="17"/>
        <v>0.19522017936234692</v>
      </c>
      <c r="V63" s="31">
        <f t="shared" si="17"/>
        <v>0.20800994190546646</v>
      </c>
      <c r="W63" s="31">
        <f t="shared" si="17"/>
        <v>0.21226198720455339</v>
      </c>
      <c r="X63" s="31">
        <f t="shared" si="17"/>
        <v>0.19810331432799375</v>
      </c>
      <c r="Y63" s="34">
        <v>0.1143</v>
      </c>
      <c r="Z63" s="39"/>
    </row>
    <row r="64" spans="1:28" x14ac:dyDescent="0.25">
      <c r="B64" s="30" t="s">
        <v>56</v>
      </c>
      <c r="C64" s="31">
        <f>C31</f>
        <v>4.5032518379459055E-2</v>
      </c>
      <c r="D64" s="31">
        <f t="shared" ref="D64:X64" si="18">D31</f>
        <v>3.3534934223932743E-2</v>
      </c>
      <c r="E64" s="31">
        <f t="shared" si="18"/>
        <v>6.3004466145713728E-2</v>
      </c>
      <c r="F64" s="31">
        <f t="shared" si="18"/>
        <v>5.554490833172368E-2</v>
      </c>
      <c r="G64" s="31">
        <f t="shared" si="18"/>
        <v>4.6325127115096953E-2</v>
      </c>
      <c r="H64" s="31">
        <f t="shared" si="18"/>
        <v>3.8632698825070026E-2</v>
      </c>
      <c r="I64" s="31">
        <f t="shared" si="18"/>
        <v>2.4487985634292039E-2</v>
      </c>
      <c r="J64" s="31">
        <f t="shared" si="18"/>
        <v>2.3246643179271508E-2</v>
      </c>
      <c r="K64" s="31">
        <f t="shared" si="18"/>
        <v>3.4429087286763776E-2</v>
      </c>
      <c r="L64" s="31">
        <f t="shared" si="18"/>
        <v>2.8776107928219451E-2</v>
      </c>
      <c r="M64" s="31">
        <f t="shared" si="18"/>
        <v>6.1166437663945125E-2</v>
      </c>
      <c r="N64" s="31">
        <f t="shared" si="18"/>
        <v>6.4288170461475336E-2</v>
      </c>
      <c r="O64" s="31">
        <f t="shared" si="18"/>
        <v>1.1892605599029833E-2</v>
      </c>
      <c r="P64" s="31">
        <f t="shared" si="18"/>
        <v>1.0872611246940308E-2</v>
      </c>
      <c r="Q64" s="31">
        <f t="shared" si="18"/>
        <v>1.4532020499836918E-2</v>
      </c>
      <c r="R64" s="31">
        <f t="shared" si="18"/>
        <v>1.4768258135210576E-2</v>
      </c>
      <c r="S64" s="31">
        <f t="shared" si="18"/>
        <v>3.7608781040517181E-2</v>
      </c>
      <c r="T64" s="31">
        <f t="shared" si="18"/>
        <v>3.3708041541480459E-2</v>
      </c>
      <c r="U64" s="31">
        <f t="shared" si="18"/>
        <v>4.0797727485946955E-2</v>
      </c>
      <c r="V64" s="31">
        <f t="shared" si="18"/>
        <v>3.9461995026920278E-2</v>
      </c>
      <c r="W64" s="31">
        <f t="shared" si="18"/>
        <v>3.4419834595087406E-2</v>
      </c>
      <c r="X64" s="31">
        <f t="shared" si="18"/>
        <v>2.7954088056040632E-2</v>
      </c>
      <c r="Y64" s="42">
        <v>2.4400000000000002E-2</v>
      </c>
      <c r="Z64" s="39"/>
    </row>
    <row r="65" spans="1:26" x14ac:dyDescent="0.25">
      <c r="B65" s="30" t="s">
        <v>57</v>
      </c>
      <c r="C65" s="31">
        <f>SUM(C32:C33)</f>
        <v>5.9169163822199493E-2</v>
      </c>
      <c r="D65" s="195">
        <f t="shared" ref="D65:X65" si="19">SUM(D32:D33)</f>
        <v>4.3103342349364936E-2</v>
      </c>
      <c r="E65" s="31">
        <f t="shared" si="19"/>
        <v>6.1917361692676726E-2</v>
      </c>
      <c r="F65" s="195">
        <f t="shared" si="19"/>
        <v>5.3403698264910579E-2</v>
      </c>
      <c r="G65" s="31">
        <f t="shared" si="19"/>
        <v>5.1911549002551398E-2</v>
      </c>
      <c r="H65" s="31">
        <f t="shared" si="19"/>
        <v>4.2341732022753126E-2</v>
      </c>
      <c r="I65" s="31">
        <f t="shared" si="19"/>
        <v>5.7374324640611457E-2</v>
      </c>
      <c r="J65" s="31">
        <f t="shared" si="19"/>
        <v>5.3279189230923771E-2</v>
      </c>
      <c r="K65" s="31">
        <f t="shared" si="19"/>
        <v>9.8680114556095128E-2</v>
      </c>
      <c r="L65" s="31">
        <f t="shared" si="19"/>
        <v>8.0666740719622959E-2</v>
      </c>
      <c r="M65" s="31">
        <f t="shared" si="19"/>
        <v>0.18686574762764538</v>
      </c>
      <c r="N65" s="195">
        <f t="shared" si="19"/>
        <v>0.19204338922397909</v>
      </c>
      <c r="O65" s="31">
        <f t="shared" si="19"/>
        <v>3.2941801533472134E-2</v>
      </c>
      <c r="P65" s="31">
        <f t="shared" si="19"/>
        <v>2.9452861575480129E-2</v>
      </c>
      <c r="Q65" s="31">
        <f t="shared" si="19"/>
        <v>0.15363897940005355</v>
      </c>
      <c r="R65" s="195">
        <f>SUM(R32:R33)</f>
        <v>0.15262618462768687</v>
      </c>
      <c r="S65" s="31">
        <f t="shared" si="19"/>
        <v>8.7812380284413155E-2</v>
      </c>
      <c r="T65" s="31">
        <f t="shared" si="19"/>
        <v>8.0864642251840202E-2</v>
      </c>
      <c r="U65" s="31">
        <f t="shared" si="19"/>
        <v>0.11494910334024677</v>
      </c>
      <c r="V65" s="31">
        <f t="shared" si="19"/>
        <v>0.11283811533687507</v>
      </c>
      <c r="W65" s="31">
        <f t="shared" si="19"/>
        <v>6.0675657228579531E-2</v>
      </c>
      <c r="X65" s="31">
        <f t="shared" si="19"/>
        <v>4.889116916680529E-2</v>
      </c>
      <c r="Y65" s="34">
        <v>5.7500000000000002E-2</v>
      </c>
      <c r="Z65" s="39"/>
    </row>
    <row r="66" spans="1:26" x14ac:dyDescent="0.25">
      <c r="B66" s="177" t="s">
        <v>60</v>
      </c>
      <c r="C66" s="31">
        <f>SUM(C34:C39)</f>
        <v>1.5103506452261646E-2</v>
      </c>
      <c r="D66" s="31">
        <f t="shared" ref="D66:X66" si="20">SUM(D34:D39)</f>
        <v>1.1359813678514982E-2</v>
      </c>
      <c r="E66" s="31">
        <f t="shared" si="20"/>
        <v>3.5044506991450952E-2</v>
      </c>
      <c r="F66" s="31">
        <f t="shared" si="20"/>
        <v>3.1205958700174161E-2</v>
      </c>
      <c r="G66" s="31">
        <f t="shared" si="20"/>
        <v>4.1447073896000386E-2</v>
      </c>
      <c r="H66" s="31">
        <f t="shared" si="20"/>
        <v>3.4906992340631132E-2</v>
      </c>
      <c r="I66" s="31">
        <f t="shared" si="20"/>
        <v>3.3713389964852791E-2</v>
      </c>
      <c r="J66" s="31">
        <f t="shared" si="20"/>
        <v>3.2324040096300563E-2</v>
      </c>
      <c r="K66" s="31">
        <f t="shared" si="20"/>
        <v>3.1274644087494308E-2</v>
      </c>
      <c r="L66" s="31">
        <f t="shared" si="20"/>
        <v>2.6398229519583545E-2</v>
      </c>
      <c r="M66" s="31">
        <f t="shared" si="20"/>
        <v>3.6763453436744163E-2</v>
      </c>
      <c r="N66" s="31">
        <f t="shared" si="20"/>
        <v>3.901689145316848E-2</v>
      </c>
      <c r="O66" s="31">
        <f t="shared" si="20"/>
        <v>4.0797784721371841E-2</v>
      </c>
      <c r="P66" s="31">
        <f t="shared" si="20"/>
        <v>3.7666081571472623E-2</v>
      </c>
      <c r="Q66" s="31">
        <f t="shared" si="20"/>
        <v>3.7973784235018307E-2</v>
      </c>
      <c r="R66" s="31">
        <f t="shared" si="20"/>
        <v>3.8961619764164096E-2</v>
      </c>
      <c r="S66" s="31">
        <f t="shared" si="20"/>
        <v>3.4014767973149299E-2</v>
      </c>
      <c r="T66" s="31">
        <f t="shared" si="20"/>
        <v>3.1479953390501199E-2</v>
      </c>
      <c r="U66" s="31">
        <f t="shared" si="20"/>
        <v>3.5873783657016559E-2</v>
      </c>
      <c r="V66" s="31">
        <f t="shared" si="20"/>
        <v>3.5377127503451816E-2</v>
      </c>
      <c r="W66" s="31">
        <f t="shared" si="20"/>
        <v>3.2155752289282045E-2</v>
      </c>
      <c r="X66" s="31">
        <f t="shared" si="20"/>
        <v>2.7582779277550568E-2</v>
      </c>
      <c r="Y66" s="42">
        <v>2.87E-2</v>
      </c>
      <c r="Z66" s="39"/>
    </row>
    <row r="67" spans="1:26" x14ac:dyDescent="0.25">
      <c r="B67" s="30" t="s">
        <v>67</v>
      </c>
      <c r="C67" s="31">
        <f>C40</f>
        <v>2.9415324360256528E-3</v>
      </c>
      <c r="D67" s="31">
        <f t="shared" ref="D67:X67" si="21">D40</f>
        <v>2.4465936192586304E-3</v>
      </c>
      <c r="E67" s="31">
        <f t="shared" si="21"/>
        <v>1.8201067566631073E-2</v>
      </c>
      <c r="F67" s="31">
        <f t="shared" si="21"/>
        <v>1.7922986314822316E-2</v>
      </c>
      <c r="G67" s="31">
        <f t="shared" si="21"/>
        <v>2.4470793554891526E-2</v>
      </c>
      <c r="H67" s="31">
        <f t="shared" si="21"/>
        <v>2.2790780852279115E-2</v>
      </c>
      <c r="I67" s="31">
        <f t="shared" si="21"/>
        <v>3.8058111884948489E-4</v>
      </c>
      <c r="J67" s="31">
        <f t="shared" si="21"/>
        <v>4.0351985237786645E-4</v>
      </c>
      <c r="K67" s="31">
        <f t="shared" si="21"/>
        <v>1.7546590295936589E-2</v>
      </c>
      <c r="L67" s="31">
        <f t="shared" si="21"/>
        <v>1.6378251547965964E-2</v>
      </c>
      <c r="M67" s="31">
        <f t="shared" si="21"/>
        <v>2.6271911396765196E-2</v>
      </c>
      <c r="N67" s="31">
        <f t="shared" si="21"/>
        <v>3.083311772469861E-2</v>
      </c>
      <c r="O67" s="31">
        <f t="shared" si="21"/>
        <v>3.2169535178608833E-3</v>
      </c>
      <c r="P67" s="31">
        <f t="shared" si="21"/>
        <v>3.2843546500400554E-3</v>
      </c>
      <c r="Q67" s="31">
        <f t="shared" si="21"/>
        <v>4.6961031579695195E-2</v>
      </c>
      <c r="R67" s="31">
        <f t="shared" si="21"/>
        <v>5.3281520014668043E-2</v>
      </c>
      <c r="S67" s="31">
        <f t="shared" si="21"/>
        <v>1.7498807683331952E-2</v>
      </c>
      <c r="T67" s="31">
        <f t="shared" si="21"/>
        <v>1.8417640572013824E-2</v>
      </c>
      <c r="U67" s="31">
        <f t="shared" si="21"/>
        <v>2.2953647915485237E-2</v>
      </c>
      <c r="V67" s="31">
        <f t="shared" si="21"/>
        <v>2.5610285976641708E-2</v>
      </c>
      <c r="W67" s="31">
        <f t="shared" si="21"/>
        <v>1.2043967451178661E-2</v>
      </c>
      <c r="X67" s="31">
        <f t="shared" si="21"/>
        <v>1.122499516738594E-2</v>
      </c>
      <c r="Y67" s="34">
        <v>2.5700000000000001E-2</v>
      </c>
      <c r="Z67" s="39"/>
    </row>
    <row r="68" spans="1:26" x14ac:dyDescent="0.25">
      <c r="A68" s="39">
        <f>AVERAGE(D68,F68,H68,J68,L68,N68,R68)</f>
        <v>2.4703661123095313E-3</v>
      </c>
      <c r="B68" s="30" t="s">
        <v>69</v>
      </c>
      <c r="C68" s="31">
        <f>SUM(C41:C50)</f>
        <v>4.7137317923009632E-3</v>
      </c>
      <c r="D68" s="31">
        <f t="shared" ref="D68:X68" si="22">SUM(D41:D50)</f>
        <v>3.5062744131040984E-3</v>
      </c>
      <c r="E68" s="31">
        <f t="shared" si="22"/>
        <v>1.6248120319585339E-3</v>
      </c>
      <c r="F68" s="31">
        <f t="shared" si="22"/>
        <v>1.4309554302764985E-3</v>
      </c>
      <c r="G68" s="31">
        <f t="shared" si="22"/>
        <v>7.1519302932473441E-4</v>
      </c>
      <c r="H68" s="195">
        <f t="shared" si="22"/>
        <v>5.9565679415749342E-4</v>
      </c>
      <c r="I68" s="31">
        <f t="shared" si="22"/>
        <v>0</v>
      </c>
      <c r="J68" s="31">
        <f t="shared" si="22"/>
        <v>0</v>
      </c>
      <c r="K68" s="31">
        <f t="shared" si="22"/>
        <v>0</v>
      </c>
      <c r="L68" s="31">
        <f t="shared" si="22"/>
        <v>0</v>
      </c>
      <c r="M68" s="31">
        <f t="shared" si="22"/>
        <v>7.2391356188183519E-4</v>
      </c>
      <c r="N68" s="31">
        <f t="shared" si="22"/>
        <v>7.5967614862863006E-4</v>
      </c>
      <c r="O68" s="31">
        <f t="shared" si="22"/>
        <v>1.2245655754865681E-3</v>
      </c>
      <c r="P68" s="31">
        <f t="shared" si="22"/>
        <v>1.1000000000000001E-3</v>
      </c>
      <c r="Q68" s="31">
        <f t="shared" si="22"/>
        <v>1.1199343798540979E-2</v>
      </c>
      <c r="R68" s="31">
        <f t="shared" si="22"/>
        <v>1.0999999999999999E-2</v>
      </c>
      <c r="S68" s="31">
        <f t="shared" si="22"/>
        <v>2.5251949736867017E-3</v>
      </c>
      <c r="T68" s="31">
        <f t="shared" si="22"/>
        <v>2.2990703482708404E-3</v>
      </c>
      <c r="U68" s="31">
        <f t="shared" si="22"/>
        <v>3.3870173480953373E-3</v>
      </c>
      <c r="V68" s="31">
        <f t="shared" si="22"/>
        <v>3.2976578947262821E-3</v>
      </c>
      <c r="W68" s="31">
        <f t="shared" si="22"/>
        <v>1.6633725992780666E-3</v>
      </c>
      <c r="X68" s="31">
        <f t="shared" si="22"/>
        <v>1.3004828018153981E-3</v>
      </c>
      <c r="Y68" s="42">
        <v>8.0999999999999996E-3</v>
      </c>
      <c r="Z68" s="39">
        <f>AVERAGE(D68,F68,J68,L68,N68,P68,R68)</f>
        <v>2.5424151417156038E-3</v>
      </c>
    </row>
    <row r="69" spans="1:26" x14ac:dyDescent="0.25">
      <c r="B69" s="28" t="s">
        <v>74</v>
      </c>
      <c r="C69" s="31">
        <f>C51</f>
        <v>0.10474130439332546</v>
      </c>
      <c r="D69" s="31">
        <f t="shared" ref="D69:X69" si="23">D51</f>
        <v>5.1296346646459899E-2</v>
      </c>
      <c r="E69" s="31">
        <f t="shared" si="23"/>
        <v>0.12994822477178739</v>
      </c>
      <c r="F69" s="31">
        <f t="shared" si="23"/>
        <v>6.3691204421557859E-2</v>
      </c>
      <c r="G69" s="31">
        <f t="shared" si="23"/>
        <v>0.13279933467030147</v>
      </c>
      <c r="H69" s="31">
        <f t="shared" si="23"/>
        <v>6.5080468506697534E-2</v>
      </c>
      <c r="I69" s="31">
        <f t="shared" si="23"/>
        <v>0.22159261888980461</v>
      </c>
      <c r="J69" s="31">
        <f t="shared" si="23"/>
        <v>0.10862864027606894</v>
      </c>
      <c r="K69" s="31">
        <f t="shared" si="23"/>
        <v>0.11725397418337274</v>
      </c>
      <c r="L69" s="31">
        <f t="shared" si="23"/>
        <v>5.7478576959989681E-2</v>
      </c>
      <c r="M69" s="31">
        <f t="shared" si="23"/>
        <v>0.22586103130713236</v>
      </c>
      <c r="N69" s="31">
        <f t="shared" si="23"/>
        <v>0.11095612570054575</v>
      </c>
      <c r="O69" s="31">
        <f t="shared" si="23"/>
        <v>0.10096148148733365</v>
      </c>
      <c r="P69" s="31">
        <f t="shared" si="23"/>
        <v>4.9543442643412504E-2</v>
      </c>
      <c r="Q69" s="31">
        <f t="shared" si="23"/>
        <v>0.17721314598867788</v>
      </c>
      <c r="R69" s="31">
        <f t="shared" si="23"/>
        <v>8.7089489755693222E-2</v>
      </c>
      <c r="S69" s="31">
        <f t="shared" si="23"/>
        <v>0.15129638946146695</v>
      </c>
      <c r="T69" s="31">
        <f t="shared" si="23"/>
        <v>7.4220536863803172E-2</v>
      </c>
      <c r="U69" s="31">
        <f t="shared" si="23"/>
        <v>0.18865375523935057</v>
      </c>
      <c r="V69" s="31">
        <f t="shared" si="23"/>
        <v>9.2591365038466433E-2</v>
      </c>
      <c r="W69" s="31">
        <f t="shared" si="23"/>
        <v>0.11393902368358333</v>
      </c>
      <c r="X69" s="31">
        <f t="shared" si="23"/>
        <v>5.5849708689139903E-2</v>
      </c>
      <c r="Y69" s="34">
        <v>0.12670000000000001</v>
      </c>
      <c r="Z69" s="39"/>
    </row>
    <row r="70" spans="1:26" x14ac:dyDescent="0.25">
      <c r="B70" s="27"/>
      <c r="C70" s="31">
        <f>SUM(C57:C69)</f>
        <v>1.0000000000000002</v>
      </c>
      <c r="D70" s="31">
        <f t="shared" ref="D70:X70" si="24">SUM(D57:D69)</f>
        <v>1.0000000000000002</v>
      </c>
      <c r="E70" s="31">
        <f t="shared" si="24"/>
        <v>0.99999999999999989</v>
      </c>
      <c r="F70" s="31">
        <f t="shared" si="24"/>
        <v>1</v>
      </c>
      <c r="G70" s="31">
        <f t="shared" si="24"/>
        <v>1</v>
      </c>
      <c r="H70" s="31">
        <f t="shared" si="24"/>
        <v>1</v>
      </c>
      <c r="I70" s="31">
        <f t="shared" si="24"/>
        <v>1</v>
      </c>
      <c r="J70" s="31">
        <f t="shared" si="24"/>
        <v>0.99999999999999956</v>
      </c>
      <c r="K70" s="31">
        <f t="shared" si="24"/>
        <v>1</v>
      </c>
      <c r="L70" s="31">
        <f t="shared" si="24"/>
        <v>1.0000000000000002</v>
      </c>
      <c r="M70" s="31">
        <f t="shared" si="24"/>
        <v>1.0000000000000002</v>
      </c>
      <c r="N70" s="31">
        <f t="shared" si="24"/>
        <v>1</v>
      </c>
      <c r="O70" s="31">
        <f t="shared" si="24"/>
        <v>0.99999999999999989</v>
      </c>
      <c r="P70" s="31">
        <f t="shared" si="24"/>
        <v>0.9999820255895675</v>
      </c>
      <c r="Q70" s="31">
        <f t="shared" si="24"/>
        <v>0.99999999999999978</v>
      </c>
      <c r="R70" s="31">
        <f t="shared" si="24"/>
        <v>0.99963951949722007</v>
      </c>
      <c r="S70" s="31">
        <f t="shared" si="24"/>
        <v>1</v>
      </c>
      <c r="T70" s="31">
        <f t="shared" si="24"/>
        <v>0.99995269313584834</v>
      </c>
      <c r="U70" s="31">
        <f t="shared" si="24"/>
        <v>1</v>
      </c>
      <c r="V70" s="31">
        <f t="shared" si="24"/>
        <v>0.99990987987430491</v>
      </c>
      <c r="W70" s="31">
        <f t="shared" si="24"/>
        <v>0.99999999999999989</v>
      </c>
      <c r="X70" s="31">
        <f t="shared" si="24"/>
        <v>0.99999550639739199</v>
      </c>
    </row>
    <row r="73" spans="1:26" ht="15" customHeight="1" x14ac:dyDescent="0.25">
      <c r="C73" s="626" t="s">
        <v>84</v>
      </c>
      <c r="D73" s="594" t="s">
        <v>132</v>
      </c>
      <c r="E73" s="595" t="s">
        <v>136</v>
      </c>
      <c r="F73" s="596"/>
      <c r="G73" s="596"/>
      <c r="H73" s="596"/>
      <c r="I73" s="597"/>
      <c r="J73" s="153" t="s">
        <v>106</v>
      </c>
      <c r="K73" s="153"/>
      <c r="L73" s="153"/>
      <c r="M73" s="91"/>
      <c r="N73" s="91"/>
    </row>
    <row r="74" spans="1:26" ht="45" x14ac:dyDescent="0.25">
      <c r="C74" s="626"/>
      <c r="D74" s="594"/>
      <c r="E74" s="137" t="s">
        <v>86</v>
      </c>
      <c r="F74" s="137" t="s">
        <v>87</v>
      </c>
      <c r="G74" s="137" t="s">
        <v>88</v>
      </c>
      <c r="H74" s="154" t="s">
        <v>89</v>
      </c>
      <c r="I74" s="154" t="s">
        <v>90</v>
      </c>
      <c r="J74" s="32" t="s">
        <v>103</v>
      </c>
      <c r="K74" s="32" t="s">
        <v>104</v>
      </c>
      <c r="L74" s="32" t="s">
        <v>105</v>
      </c>
      <c r="M74" s="32" t="s">
        <v>113</v>
      </c>
      <c r="N74" s="32" t="s">
        <v>114</v>
      </c>
      <c r="S74" s="135" t="s">
        <v>117</v>
      </c>
    </row>
    <row r="75" spans="1:26" x14ac:dyDescent="0.25">
      <c r="B75" s="33" t="s">
        <v>82</v>
      </c>
      <c r="C75" s="158">
        <v>0.30930000000000002</v>
      </c>
      <c r="D75" s="35">
        <v>0.22611376396934094</v>
      </c>
      <c r="E75" s="164">
        <f t="shared" ref="E75:E87" si="25">T57</f>
        <v>0.24740608221597321</v>
      </c>
      <c r="F75" s="159">
        <f>MIN(D57,F57,H57,J57,L57,N57,P57,R57)</f>
        <v>9.2564522527291263E-2</v>
      </c>
      <c r="G75" s="159">
        <f t="shared" ref="G75:G87" si="26">MAX(D57,F57,H57,J57,L57,N57,P57,R57)</f>
        <v>0.47361186175412662</v>
      </c>
      <c r="H75" s="160">
        <f t="shared" ref="H75:H87" si="27">STDEV(D57,F57,H57,J57,L57,N57,P57,R57)</f>
        <v>0.12554856708681919</v>
      </c>
      <c r="I75" s="161">
        <f>H75/E75</f>
        <v>0.5074595012471097</v>
      </c>
      <c r="J75" s="36">
        <f>E75+SQRT((1/0.05)-1)*(H75/SQRT(8))</f>
        <v>0.44088941846664276</v>
      </c>
      <c r="K75" s="36">
        <f>E75-(SQRT((1/0.05)-1)*H75/SQRT(8))</f>
        <v>5.3922745965303637E-2</v>
      </c>
      <c r="L75" s="38">
        <f>SQRT((1/0.05)-1)*(H75/SQRT(8))</f>
        <v>0.19348333625066955</v>
      </c>
      <c r="M75" s="112">
        <f>(J75-K75)/2</f>
        <v>0.19348333625066955</v>
      </c>
      <c r="N75" s="62">
        <f>M75/E75</f>
        <v>0.78204761385683397</v>
      </c>
      <c r="O75" s="39">
        <f>E75-F75</f>
        <v>0.15484155968868196</v>
      </c>
      <c r="P75" s="40">
        <f>G75-E75</f>
        <v>0.22620577953815341</v>
      </c>
      <c r="Q75" s="155">
        <f>C75/E75</f>
        <v>1.2501713669674317</v>
      </c>
      <c r="R75" s="39">
        <f>G75-F75</f>
        <v>0.38104733922683537</v>
      </c>
      <c r="S75" s="49">
        <f>E75/C75</f>
        <v>0.79989034017450111</v>
      </c>
      <c r="T75" s="39"/>
    </row>
    <row r="76" spans="1:26" x14ac:dyDescent="0.25">
      <c r="B76" s="41" t="s">
        <v>31</v>
      </c>
      <c r="C76" s="43">
        <v>0.1033</v>
      </c>
      <c r="D76" s="43">
        <v>0.12621046204246816</v>
      </c>
      <c r="E76" s="140">
        <f t="shared" si="25"/>
        <v>0.11209150908168665</v>
      </c>
      <c r="F76" s="44">
        <f t="shared" ref="F76:F87" si="28">MIN(D58,F58,H58,J58,L58,N58,P58,R58)</f>
        <v>6.5161125226759251E-2</v>
      </c>
      <c r="G76" s="44">
        <f t="shared" si="26"/>
        <v>0.20318869299205672</v>
      </c>
      <c r="H76" s="46">
        <f t="shared" si="27"/>
        <v>4.9553783585409877E-2</v>
      </c>
      <c r="I76" s="45">
        <f t="shared" ref="I76:I87" si="29">H76/E76</f>
        <v>0.44208329418865772</v>
      </c>
      <c r="J76" s="44">
        <f t="shared" ref="J76:J87" si="30">E76+SQRT((1/0.05)-1)*(H76/SQRT(8))</f>
        <v>0.18845901844018537</v>
      </c>
      <c r="K76" s="44">
        <f t="shared" ref="K76:K87" si="31">E76-(SQRT((1/0.05)-1)*H76/SQRT(8))</f>
        <v>3.5723999723187932E-2</v>
      </c>
      <c r="L76" s="46">
        <f t="shared" ref="L76:L87" si="32">SQRT((1/0.05)-1)*(H76/SQRT(8))</f>
        <v>7.6367509358498717E-2</v>
      </c>
      <c r="M76" s="113">
        <f t="shared" ref="M76:M87" si="33">(J76-K76)/2</f>
        <v>7.6367509358498717E-2</v>
      </c>
      <c r="N76" s="60">
        <f t="shared" ref="N76:N87" si="34">M76/E76</f>
        <v>0.68129611229380382</v>
      </c>
      <c r="O76" s="39">
        <f t="shared" ref="O76:O87" si="35">E76-F76</f>
        <v>4.6930383854927399E-2</v>
      </c>
      <c r="P76" s="40">
        <f t="shared" ref="P76:P87" si="36">G76-E76</f>
        <v>9.1097183910370069E-2</v>
      </c>
      <c r="Q76" s="155">
        <f>C76/E76</f>
        <v>0.92156846532167003</v>
      </c>
      <c r="R76" s="39">
        <f t="shared" ref="R76:R87" si="37">G76-F76</f>
        <v>0.13802756776529745</v>
      </c>
      <c r="S76" s="49">
        <f t="shared" ref="S76:S87" si="38">E76/C76</f>
        <v>1.0851065738788639</v>
      </c>
      <c r="T76" s="39"/>
    </row>
    <row r="77" spans="1:26" x14ac:dyDescent="0.25">
      <c r="B77" s="33" t="s">
        <v>37</v>
      </c>
      <c r="C77" s="35">
        <v>5.6899999999999999E-2</v>
      </c>
      <c r="D77" s="35">
        <v>9.870587327859015E-2</v>
      </c>
      <c r="E77" s="157">
        <f t="shared" si="25"/>
        <v>7.8095938609641008E-2</v>
      </c>
      <c r="F77" s="36">
        <f t="shared" si="28"/>
        <v>5.5836558778553667E-2</v>
      </c>
      <c r="G77" s="36">
        <f t="shared" si="26"/>
        <v>0.10878955531693682</v>
      </c>
      <c r="H77" s="38">
        <f t="shared" si="27"/>
        <v>1.8597376815818099E-2</v>
      </c>
      <c r="I77" s="37">
        <f t="shared" si="29"/>
        <v>0.23813500608240643</v>
      </c>
      <c r="J77" s="36">
        <f t="shared" si="30"/>
        <v>0.10675642112512093</v>
      </c>
      <c r="K77" s="36">
        <f t="shared" si="31"/>
        <v>4.9435456094161084E-2</v>
      </c>
      <c r="L77" s="38">
        <f>SQRT((1/0.05)-1)*(H77/SQRT(8))</f>
        <v>2.866048251547992E-2</v>
      </c>
      <c r="M77" s="112">
        <f t="shared" si="33"/>
        <v>2.8660482515479924E-2</v>
      </c>
      <c r="N77" s="62">
        <f t="shared" si="34"/>
        <v>0.36699069152287217</v>
      </c>
      <c r="O77" s="39">
        <f t="shared" si="35"/>
        <v>2.2259379831087341E-2</v>
      </c>
      <c r="P77" s="40">
        <f t="shared" si="36"/>
        <v>3.0693616707295812E-2</v>
      </c>
      <c r="Q77" s="155">
        <f>C77/E77</f>
        <v>0.72859102551301747</v>
      </c>
      <c r="R77" s="39">
        <f t="shared" si="37"/>
        <v>5.2952996538383153E-2</v>
      </c>
      <c r="S77" s="49">
        <f>E77/C77</f>
        <v>1.3725121021026538</v>
      </c>
      <c r="T77" s="39"/>
    </row>
    <row r="78" spans="1:26" x14ac:dyDescent="0.25">
      <c r="B78" s="41" t="s">
        <v>83</v>
      </c>
      <c r="C78" s="43">
        <v>1.6899999999999998E-2</v>
      </c>
      <c r="D78" s="43">
        <v>2.2590783766282978E-2</v>
      </c>
      <c r="E78" s="140">
        <f t="shared" si="25"/>
        <v>1.4907911929809062E-2</v>
      </c>
      <c r="F78" s="44">
        <f t="shared" si="28"/>
        <v>4.5036581434452503E-3</v>
      </c>
      <c r="G78" s="44">
        <f t="shared" si="26"/>
        <v>3.6597821397625366E-2</v>
      </c>
      <c r="H78" s="46">
        <f t="shared" si="27"/>
        <v>1.0028134415524026E-2</v>
      </c>
      <c r="I78" s="45">
        <f t="shared" si="29"/>
        <v>0.67267196524499884</v>
      </c>
      <c r="J78" s="44">
        <f t="shared" si="30"/>
        <v>3.0362304983486917E-2</v>
      </c>
      <c r="K78" s="44">
        <f t="shared" si="31"/>
        <v>-5.4648112386879166E-4</v>
      </c>
      <c r="L78" s="46">
        <f t="shared" si="32"/>
        <v>1.5454393053677856E-2</v>
      </c>
      <c r="M78" s="113">
        <f t="shared" si="33"/>
        <v>1.5454393053677854E-2</v>
      </c>
      <c r="N78" s="60">
        <f t="shared" si="34"/>
        <v>1.0366571204902328</v>
      </c>
      <c r="O78" s="39">
        <f t="shared" si="35"/>
        <v>1.0404253786363813E-2</v>
      </c>
      <c r="P78" s="40">
        <f t="shared" si="36"/>
        <v>2.1689909467816303E-2</v>
      </c>
      <c r="Q78" s="155">
        <f>C78/E78</f>
        <v>1.1336262301233255</v>
      </c>
      <c r="R78" s="39">
        <f t="shared" si="37"/>
        <v>3.2094163254180116E-2</v>
      </c>
      <c r="S78" s="49">
        <f t="shared" si="38"/>
        <v>0.88212496626089132</v>
      </c>
      <c r="T78" s="39"/>
    </row>
    <row r="79" spans="1:26" x14ac:dyDescent="0.25">
      <c r="B79" s="33" t="s">
        <v>46</v>
      </c>
      <c r="C79" s="35">
        <v>2.3199999999999998E-2</v>
      </c>
      <c r="D79" s="35">
        <v>2.8504511241045284E-2</v>
      </c>
      <c r="E79" s="157">
        <f>T61</f>
        <v>2.6906014337539197E-2</v>
      </c>
      <c r="F79" s="36">
        <f t="shared" si="28"/>
        <v>3.3514434135864723E-3</v>
      </c>
      <c r="G79" s="36">
        <f t="shared" si="26"/>
        <v>5.8329386189174805E-2</v>
      </c>
      <c r="H79" s="38">
        <f t="shared" si="27"/>
        <v>1.9559732364114565E-2</v>
      </c>
      <c r="I79" s="37">
        <f>H79/E79</f>
        <v>0.72696506137012196</v>
      </c>
      <c r="J79" s="36">
        <f t="shared" si="30"/>
        <v>5.7049586357457521E-2</v>
      </c>
      <c r="K79" s="36">
        <f t="shared" si="31"/>
        <v>-3.2375576823791274E-3</v>
      </c>
      <c r="L79" s="38">
        <f t="shared" si="32"/>
        <v>3.0143572019918328E-2</v>
      </c>
      <c r="M79" s="112">
        <f t="shared" si="33"/>
        <v>3.0143572019918324E-2</v>
      </c>
      <c r="N79" s="62">
        <f t="shared" si="34"/>
        <v>1.1203284009947954</v>
      </c>
      <c r="O79" s="39">
        <f t="shared" si="35"/>
        <v>2.3554570923952724E-2</v>
      </c>
      <c r="P79" s="40">
        <f t="shared" si="36"/>
        <v>3.1423371851635608E-2</v>
      </c>
      <c r="Q79" s="156">
        <f>C79/E79</f>
        <v>0.86226074620169302</v>
      </c>
      <c r="R79" s="39">
        <f t="shared" si="37"/>
        <v>5.4977942775588332E-2</v>
      </c>
      <c r="S79" s="49">
        <f t="shared" si="38"/>
        <v>1.1597419973077241</v>
      </c>
      <c r="T79" s="39"/>
    </row>
    <row r="80" spans="1:26" x14ac:dyDescent="0.25">
      <c r="B80" s="41" t="s">
        <v>47</v>
      </c>
      <c r="C80" s="43">
        <v>0.105</v>
      </c>
      <c r="D80" s="43">
        <v>9.1187119019428636E-2</v>
      </c>
      <c r="E80" s="167">
        <f t="shared" si="25"/>
        <v>7.6498723876559538E-2</v>
      </c>
      <c r="F80" s="44">
        <f t="shared" si="28"/>
        <v>2.3199147509557472E-2</v>
      </c>
      <c r="G80" s="44">
        <f t="shared" si="26"/>
        <v>0.13523560258261563</v>
      </c>
      <c r="H80" s="46">
        <f t="shared" si="27"/>
        <v>3.8072766416327224E-2</v>
      </c>
      <c r="I80" s="45">
        <f t="shared" si="29"/>
        <v>0.49769152329602906</v>
      </c>
      <c r="J80" s="44">
        <f t="shared" si="30"/>
        <v>0.13517279748370317</v>
      </c>
      <c r="K80" s="44">
        <f t="shared" si="31"/>
        <v>1.7824650269415911E-2</v>
      </c>
      <c r="L80" s="46">
        <f t="shared" si="32"/>
        <v>5.8674073607143627E-2</v>
      </c>
      <c r="M80" s="113">
        <f t="shared" si="33"/>
        <v>5.8674073607143634E-2</v>
      </c>
      <c r="N80" s="60">
        <f t="shared" si="34"/>
        <v>0.76699414884125061</v>
      </c>
      <c r="O80" s="39">
        <f t="shared" si="35"/>
        <v>5.3299576367002069E-2</v>
      </c>
      <c r="P80" s="40">
        <f t="shared" si="36"/>
        <v>5.8736878706056095E-2</v>
      </c>
      <c r="Q80" s="155">
        <f t="shared" ref="Q80:Q87" si="39">C80/E80</f>
        <v>1.3725719159633423</v>
      </c>
      <c r="R80" s="39">
        <f t="shared" si="37"/>
        <v>0.11203645507305816</v>
      </c>
      <c r="S80" s="49">
        <f t="shared" si="38"/>
        <v>0.72855927501485274</v>
      </c>
      <c r="T80" s="39"/>
    </row>
    <row r="81" spans="2:24" x14ac:dyDescent="0.25">
      <c r="B81" s="33" t="s">
        <v>50</v>
      </c>
      <c r="C81" s="35">
        <v>0.1143</v>
      </c>
      <c r="D81" s="35">
        <v>0.18350233790553844</v>
      </c>
      <c r="E81" s="141">
        <f t="shared" si="25"/>
        <v>0.20305662811673011</v>
      </c>
      <c r="F81" s="36">
        <f t="shared" si="28"/>
        <v>0.11552624013467971</v>
      </c>
      <c r="G81" s="36">
        <f t="shared" si="26"/>
        <v>0.26706364795958315</v>
      </c>
      <c r="H81" s="38">
        <f t="shared" si="27"/>
        <v>5.7813883201845724E-2</v>
      </c>
      <c r="I81" s="37">
        <f t="shared" si="29"/>
        <v>0.28471803032507048</v>
      </c>
      <c r="J81" s="36">
        <f t="shared" si="30"/>
        <v>0.29215380591059781</v>
      </c>
      <c r="K81" s="36">
        <f t="shared" si="31"/>
        <v>0.11395945032286245</v>
      </c>
      <c r="L81" s="38">
        <f t="shared" si="32"/>
        <v>8.9097177793867666E-2</v>
      </c>
      <c r="M81" s="112">
        <f t="shared" si="33"/>
        <v>8.909717779386768E-2</v>
      </c>
      <c r="N81" s="62">
        <f t="shared" si="34"/>
        <v>0.43877995325840258</v>
      </c>
      <c r="O81" s="39">
        <f t="shared" si="35"/>
        <v>8.75303879820504E-2</v>
      </c>
      <c r="P81" s="40">
        <f t="shared" si="36"/>
        <v>6.4007019842853036E-2</v>
      </c>
      <c r="Q81" s="155">
        <f t="shared" si="39"/>
        <v>0.56289716351584917</v>
      </c>
      <c r="R81" s="39">
        <f t="shared" si="37"/>
        <v>0.15153740782490344</v>
      </c>
      <c r="S81" s="49">
        <f t="shared" si="38"/>
        <v>1.7765234305925643</v>
      </c>
      <c r="T81" s="39"/>
    </row>
    <row r="82" spans="2:24" x14ac:dyDescent="0.25">
      <c r="B82" s="41" t="s">
        <v>56</v>
      </c>
      <c r="C82" s="43">
        <v>2.4400000000000002E-2</v>
      </c>
      <c r="D82" s="43">
        <v>3.5013714023170849E-2</v>
      </c>
      <c r="E82" s="167">
        <f>T64</f>
        <v>3.3708041541480459E-2</v>
      </c>
      <c r="F82" s="44">
        <f t="shared" si="28"/>
        <v>1.0872611246940308E-2</v>
      </c>
      <c r="G82" s="44">
        <f t="shared" si="26"/>
        <v>6.4288170461475336E-2</v>
      </c>
      <c r="H82" s="46">
        <f t="shared" si="27"/>
        <v>1.870909766685026E-2</v>
      </c>
      <c r="I82" s="45">
        <f t="shared" si="29"/>
        <v>0.55503365995995968</v>
      </c>
      <c r="J82" s="44">
        <f t="shared" si="30"/>
        <v>6.2540697451591951E-2</v>
      </c>
      <c r="K82" s="44">
        <f t="shared" si="31"/>
        <v>4.8753856313689704E-3</v>
      </c>
      <c r="L82" s="46">
        <f t="shared" si="32"/>
        <v>2.8832655910111488E-2</v>
      </c>
      <c r="M82" s="113">
        <f t="shared" si="33"/>
        <v>2.8832655910111492E-2</v>
      </c>
      <c r="N82" s="60">
        <f t="shared" si="34"/>
        <v>0.85536431639407429</v>
      </c>
      <c r="O82" s="39">
        <f t="shared" si="35"/>
        <v>2.2835430294540153E-2</v>
      </c>
      <c r="P82" s="40">
        <f t="shared" si="36"/>
        <v>3.0580128919994877E-2</v>
      </c>
      <c r="Q82" s="155">
        <f>C82/E82</f>
        <v>0.72386287912852598</v>
      </c>
      <c r="R82" s="39">
        <f t="shared" si="37"/>
        <v>5.341555921453503E-2</v>
      </c>
      <c r="S82" s="49">
        <f t="shared" si="38"/>
        <v>1.3814771123557563</v>
      </c>
      <c r="T82" s="39"/>
    </row>
    <row r="83" spans="2:24" x14ac:dyDescent="0.25">
      <c r="B83" s="33" t="s">
        <v>57</v>
      </c>
      <c r="C83" s="35">
        <v>5.7500000000000002E-2</v>
      </c>
      <c r="D83" s="35">
        <v>6.5246665055814695E-2</v>
      </c>
      <c r="E83" s="141">
        <f t="shared" si="25"/>
        <v>8.0864642251840202E-2</v>
      </c>
      <c r="F83" s="36">
        <f t="shared" si="28"/>
        <v>2.9452861575480129E-2</v>
      </c>
      <c r="G83" s="36">
        <f t="shared" si="26"/>
        <v>0.19204338922397909</v>
      </c>
      <c r="H83" s="38">
        <f t="shared" si="27"/>
        <v>5.9255661749564231E-2</v>
      </c>
      <c r="I83" s="37">
        <f t="shared" si="29"/>
        <v>0.7327759092165621</v>
      </c>
      <c r="J83" s="36">
        <f t="shared" si="30"/>
        <v>0.17218375001289193</v>
      </c>
      <c r="K83" s="36">
        <f t="shared" si="31"/>
        <v>-1.0454465509211516E-2</v>
      </c>
      <c r="L83" s="38">
        <f t="shared" si="32"/>
        <v>9.1319107761051732E-2</v>
      </c>
      <c r="M83" s="112">
        <f t="shared" si="33"/>
        <v>9.1319107761051732E-2</v>
      </c>
      <c r="N83" s="62">
        <f t="shared" si="34"/>
        <v>1.1292835189532249</v>
      </c>
      <c r="O83" s="39">
        <f t="shared" si="35"/>
        <v>5.1411780676360069E-2</v>
      </c>
      <c r="P83" s="40">
        <f t="shared" si="36"/>
        <v>0.11117874697213889</v>
      </c>
      <c r="Q83" s="155">
        <f t="shared" si="39"/>
        <v>0.71106479171607906</v>
      </c>
      <c r="R83" s="39">
        <f t="shared" si="37"/>
        <v>0.16259052764849896</v>
      </c>
      <c r="S83" s="49">
        <f t="shared" si="38"/>
        <v>1.4063416043798296</v>
      </c>
      <c r="T83" s="39"/>
    </row>
    <row r="84" spans="2:24" x14ac:dyDescent="0.25">
      <c r="B84" s="41" t="s">
        <v>60</v>
      </c>
      <c r="C84" s="43">
        <v>2.87E-2</v>
      </c>
      <c r="D84" s="43">
        <v>4.0337855118482362E-2</v>
      </c>
      <c r="E84" s="140">
        <f t="shared" si="25"/>
        <v>3.1479953390501199E-2</v>
      </c>
      <c r="F84" s="44">
        <f t="shared" si="28"/>
        <v>1.1359813678514982E-2</v>
      </c>
      <c r="G84" s="44">
        <f t="shared" si="26"/>
        <v>3.901689145316848E-2</v>
      </c>
      <c r="H84" s="46">
        <f t="shared" si="27"/>
        <v>9.2135384850752094E-3</v>
      </c>
      <c r="I84" s="45">
        <f t="shared" si="29"/>
        <v>0.29267954659219142</v>
      </c>
      <c r="J84" s="44">
        <f t="shared" si="30"/>
        <v>4.5678969804073995E-2</v>
      </c>
      <c r="K84" s="44">
        <f t="shared" si="31"/>
        <v>1.7280936976928403E-2</v>
      </c>
      <c r="L84" s="46">
        <f t="shared" si="32"/>
        <v>1.4199016413572798E-2</v>
      </c>
      <c r="M84" s="113">
        <f t="shared" si="33"/>
        <v>1.4199016413572796E-2</v>
      </c>
      <c r="N84" s="60">
        <f t="shared" si="34"/>
        <v>0.45104947384887883</v>
      </c>
      <c r="O84" s="39">
        <f t="shared" si="35"/>
        <v>2.0120139711986215E-2</v>
      </c>
      <c r="P84" s="40">
        <f t="shared" si="36"/>
        <v>7.5369380626672811E-3</v>
      </c>
      <c r="Q84" s="155">
        <f t="shared" si="39"/>
        <v>0.91169131173682028</v>
      </c>
      <c r="R84" s="39">
        <f t="shared" si="37"/>
        <v>2.7657077774653496E-2</v>
      </c>
      <c r="S84" s="49">
        <f t="shared" si="38"/>
        <v>1.0968624874739095</v>
      </c>
      <c r="T84" s="39"/>
    </row>
    <row r="85" spans="2:24" x14ac:dyDescent="0.25">
      <c r="B85" s="33" t="s">
        <v>67</v>
      </c>
      <c r="C85" s="35">
        <v>2.5700000000000001E-2</v>
      </c>
      <c r="D85" s="35">
        <v>1.6677595960460041E-2</v>
      </c>
      <c r="E85" s="157">
        <f t="shared" si="25"/>
        <v>1.8417640572013824E-2</v>
      </c>
      <c r="F85" s="36">
        <f t="shared" si="28"/>
        <v>4.0351985237786645E-4</v>
      </c>
      <c r="G85" s="36">
        <f t="shared" si="26"/>
        <v>5.3281520014668043E-2</v>
      </c>
      <c r="H85" s="38">
        <f t="shared" si="27"/>
        <v>1.773520122694712E-2</v>
      </c>
      <c r="I85" s="37">
        <f t="shared" si="29"/>
        <v>0.96294642940835251</v>
      </c>
      <c r="J85" s="36">
        <f t="shared" si="30"/>
        <v>4.5749421269230178E-2</v>
      </c>
      <c r="K85" s="36">
        <f t="shared" si="31"/>
        <v>-8.9141401252025264E-3</v>
      </c>
      <c r="L85" s="38">
        <f t="shared" si="32"/>
        <v>2.7331780697216351E-2</v>
      </c>
      <c r="M85" s="112">
        <f t="shared" si="33"/>
        <v>2.7331780697216354E-2</v>
      </c>
      <c r="N85" s="62">
        <f t="shared" si="34"/>
        <v>1.4840001133884566</v>
      </c>
      <c r="O85" s="39">
        <f t="shared" si="35"/>
        <v>1.8014120719635957E-2</v>
      </c>
      <c r="P85" s="40">
        <f t="shared" si="36"/>
        <v>3.4863879442654219E-2</v>
      </c>
      <c r="Q85" s="155">
        <f t="shared" si="39"/>
        <v>1.3954013218746351</v>
      </c>
      <c r="R85" s="39">
        <f t="shared" si="37"/>
        <v>5.2878000162290176E-2</v>
      </c>
      <c r="S85" s="49">
        <f t="shared" si="38"/>
        <v>0.71663971097330048</v>
      </c>
      <c r="T85" s="39"/>
    </row>
    <row r="86" spans="2:24" x14ac:dyDescent="0.25">
      <c r="B86" s="41" t="s">
        <v>69</v>
      </c>
      <c r="C86" s="43">
        <v>8.0999999999999996E-3</v>
      </c>
      <c r="D86" s="43">
        <v>8.6654674950381386E-3</v>
      </c>
      <c r="E86" s="251">
        <f t="shared" si="25"/>
        <v>2.2990703482708404E-3</v>
      </c>
      <c r="F86" s="44">
        <f t="shared" si="28"/>
        <v>0</v>
      </c>
      <c r="G86" s="44">
        <f t="shared" si="26"/>
        <v>1.0999999999999999E-2</v>
      </c>
      <c r="H86" s="46">
        <f t="shared" si="27"/>
        <v>3.6877734831324109E-3</v>
      </c>
      <c r="I86" s="45">
        <f>H86/E86</f>
        <v>1.604028117672011</v>
      </c>
      <c r="J86" s="44">
        <f t="shared" si="30"/>
        <v>7.9823109730706183E-3</v>
      </c>
      <c r="K86" s="44">
        <f t="shared" si="31"/>
        <v>-3.3841702765289375E-3</v>
      </c>
      <c r="L86" s="46">
        <f t="shared" si="32"/>
        <v>5.6832406247997779E-3</v>
      </c>
      <c r="M86" s="113">
        <f t="shared" si="33"/>
        <v>5.6832406247997779E-3</v>
      </c>
      <c r="N86" s="60">
        <f t="shared" si="34"/>
        <v>2.4719733474333285</v>
      </c>
      <c r="O86" s="39">
        <f t="shared" si="35"/>
        <v>2.2990703482708404E-3</v>
      </c>
      <c r="P86" s="40">
        <f t="shared" si="36"/>
        <v>8.7009296517291598E-3</v>
      </c>
      <c r="Q86" s="155">
        <f>C86/E86</f>
        <v>3.5231631803229124</v>
      </c>
      <c r="R86" s="39">
        <f t="shared" si="37"/>
        <v>1.0999999999999999E-2</v>
      </c>
      <c r="S86" s="49">
        <f t="shared" si="38"/>
        <v>0.28383584546553586</v>
      </c>
      <c r="T86" s="39"/>
    </row>
    <row r="87" spans="2:24" x14ac:dyDescent="0.25">
      <c r="B87" s="47" t="s">
        <v>74</v>
      </c>
      <c r="C87" s="35">
        <v>0.12670000000000001</v>
      </c>
      <c r="D87" s="35">
        <v>5.7233624762730154E-2</v>
      </c>
      <c r="E87" s="157">
        <f t="shared" si="25"/>
        <v>7.4220536863803172E-2</v>
      </c>
      <c r="F87" s="36">
        <f t="shared" si="28"/>
        <v>4.9543442643412504E-2</v>
      </c>
      <c r="G87" s="36">
        <f t="shared" si="26"/>
        <v>0.11095612570054575</v>
      </c>
      <c r="H87" s="38">
        <f t="shared" si="27"/>
        <v>2.4808435791943341E-2</v>
      </c>
      <c r="I87" s="37">
        <f t="shared" si="29"/>
        <v>0.33425298226375721</v>
      </c>
      <c r="J87" s="36">
        <f t="shared" si="30"/>
        <v>0.11245290411070624</v>
      </c>
      <c r="K87" s="36">
        <f t="shared" si="31"/>
        <v>3.5988169616900101E-2</v>
      </c>
      <c r="L87" s="38">
        <f t="shared" si="32"/>
        <v>3.8232367246903071E-2</v>
      </c>
      <c r="M87" s="112">
        <f t="shared" si="33"/>
        <v>3.8232367246903071E-2</v>
      </c>
      <c r="N87" s="62">
        <f t="shared" si="34"/>
        <v>0.51511844110021154</v>
      </c>
      <c r="O87" s="39">
        <f t="shared" si="35"/>
        <v>2.4677094220390668E-2</v>
      </c>
      <c r="P87" s="40">
        <f t="shared" si="36"/>
        <v>3.6735588836742578E-2</v>
      </c>
      <c r="Q87" s="136">
        <f t="shared" si="39"/>
        <v>1.7070746905603522</v>
      </c>
      <c r="R87" s="39">
        <f t="shared" si="37"/>
        <v>6.1412683057133245E-2</v>
      </c>
      <c r="S87" s="49">
        <f t="shared" si="38"/>
        <v>0.58579744959592084</v>
      </c>
      <c r="T87" s="39"/>
    </row>
    <row r="88" spans="2:24" x14ac:dyDescent="0.25">
      <c r="C88" s="48"/>
      <c r="D88" s="35">
        <v>0.99998977363839092</v>
      </c>
      <c r="E88" s="49"/>
    </row>
    <row r="89" spans="2:24" x14ac:dyDescent="0.25">
      <c r="B89" s="50"/>
      <c r="C89" s="598" t="s">
        <v>84</v>
      </c>
      <c r="D89" s="599" t="s">
        <v>91</v>
      </c>
      <c r="E89" s="600"/>
      <c r="F89" s="600"/>
      <c r="G89" s="600"/>
      <c r="H89" s="601"/>
      <c r="I89" s="599" t="s">
        <v>92</v>
      </c>
      <c r="J89" s="600"/>
      <c r="K89" s="600"/>
      <c r="L89" s="600"/>
      <c r="M89" s="601"/>
    </row>
    <row r="90" spans="2:24" ht="45" x14ac:dyDescent="0.25">
      <c r="B90" s="50"/>
      <c r="C90" s="598"/>
      <c r="D90" s="165" t="s">
        <v>78</v>
      </c>
      <c r="E90" s="165" t="s">
        <v>93</v>
      </c>
      <c r="F90" s="165" t="s">
        <v>94</v>
      </c>
      <c r="G90" s="166" t="s">
        <v>95</v>
      </c>
      <c r="H90" s="165" t="s">
        <v>90</v>
      </c>
      <c r="I90" s="165" t="s">
        <v>77</v>
      </c>
      <c r="J90" s="165" t="s">
        <v>93</v>
      </c>
      <c r="K90" s="165" t="s">
        <v>94</v>
      </c>
      <c r="L90" s="166" t="s">
        <v>95</v>
      </c>
      <c r="M90" s="165" t="s">
        <v>90</v>
      </c>
      <c r="N90" s="131" t="s">
        <v>115</v>
      </c>
      <c r="P90" t="s">
        <v>116</v>
      </c>
      <c r="R90" s="135" t="s">
        <v>118</v>
      </c>
      <c r="S90" s="135" t="s">
        <v>116</v>
      </c>
      <c r="T90" t="s">
        <v>133</v>
      </c>
      <c r="U90" t="s">
        <v>134</v>
      </c>
      <c r="V90" t="s">
        <v>135</v>
      </c>
    </row>
    <row r="91" spans="2:24" x14ac:dyDescent="0.25">
      <c r="B91" s="51" t="s">
        <v>82</v>
      </c>
      <c r="C91" s="158">
        <v>0.30930000000000002</v>
      </c>
      <c r="D91" s="162">
        <f>AVERAGE(D57,H57,L57,P57)</f>
        <v>0.32356020086073617</v>
      </c>
      <c r="E91" s="52">
        <f t="shared" ref="E91:E103" si="40">MIN(D57,H57,L57,P57)</f>
        <v>0.17566831936520871</v>
      </c>
      <c r="F91" s="53">
        <f t="shared" ref="F91:F103" si="41">MAX(D57,H57,L57,P57)</f>
        <v>0.47361186175412662</v>
      </c>
      <c r="G91" s="86">
        <f t="shared" ref="G91:G103" si="42">STDEV(D57,H57,L57,P57)</f>
        <v>0.12200975869801821</v>
      </c>
      <c r="H91" s="132">
        <f>G91/D91</f>
        <v>0.37708518653854012</v>
      </c>
      <c r="I91" s="163">
        <f t="shared" ref="I91:I103" si="43">AVERAGE(F57,J57,N57,R57)</f>
        <v>0.17125196357121023</v>
      </c>
      <c r="J91" s="52">
        <f t="shared" ref="J91:J103" si="44">MIN(F57,J57,N57,R57)</f>
        <v>9.2564522527291263E-2</v>
      </c>
      <c r="K91" s="53">
        <f t="shared" ref="K91:K103" si="45">MAX(F57,J57,N57,R57)</f>
        <v>0.25735387734426213</v>
      </c>
      <c r="L91" s="88">
        <f t="shared" ref="L91:L103" si="46">STDEV(F57,J57,N57,R57)</f>
        <v>8.0171393355618167E-2</v>
      </c>
      <c r="M91" s="150">
        <f>L91/I91</f>
        <v>0.46814875393987054</v>
      </c>
      <c r="N91" s="39">
        <f>D91-E91</f>
        <v>0.14789188149552746</v>
      </c>
      <c r="O91" s="39">
        <f>F91-D91</f>
        <v>0.15005166089339045</v>
      </c>
      <c r="P91" s="39">
        <f>I91-J91</f>
        <v>7.8687441043918963E-2</v>
      </c>
      <c r="Q91" s="39">
        <f>K91-I91</f>
        <v>8.6101913773051902E-2</v>
      </c>
      <c r="R91" s="156">
        <f>D91/C91</f>
        <v>1.0461047554501655</v>
      </c>
      <c r="S91" s="156">
        <f>I91/C91</f>
        <v>0.55367592489883677</v>
      </c>
      <c r="T91" s="39">
        <f>D91-I91</f>
        <v>0.15230823728952594</v>
      </c>
      <c r="U91" s="241">
        <f>F91-E91</f>
        <v>0.2979435423889179</v>
      </c>
      <c r="V91" s="241">
        <f>K91-J91</f>
        <v>0.16478935481697088</v>
      </c>
    </row>
    <row r="92" spans="2:24" x14ac:dyDescent="0.25">
      <c r="B92" s="54" t="s">
        <v>31</v>
      </c>
      <c r="C92" s="43">
        <v>0.1033</v>
      </c>
      <c r="D92" s="55">
        <f t="shared" ref="D92:D103" si="47">AVERAGE(D58,H58,L58,P58)</f>
        <v>0.1268926356686062</v>
      </c>
      <c r="E92" s="55">
        <f t="shared" si="40"/>
        <v>6.5161125226759251E-2</v>
      </c>
      <c r="F92" s="56">
        <f t="shared" si="41"/>
        <v>0.20318869299205672</v>
      </c>
      <c r="G92" s="87">
        <f t="shared" si="42"/>
        <v>6.1503746792462954E-2</v>
      </c>
      <c r="H92" s="133">
        <f t="shared" ref="H92:H103" si="48">G92/D92</f>
        <v>0.48469122316196994</v>
      </c>
      <c r="I92" s="89">
        <f t="shared" si="43"/>
        <v>9.7290382494767139E-2</v>
      </c>
      <c r="J92" s="55">
        <f t="shared" si="44"/>
        <v>7.1222384696768809E-2</v>
      </c>
      <c r="K92" s="56">
        <f t="shared" si="45"/>
        <v>0.15137880644288809</v>
      </c>
      <c r="L92" s="85">
        <f t="shared" si="46"/>
        <v>3.6915772956543254E-2</v>
      </c>
      <c r="M92" s="151">
        <f t="shared" ref="M92:M103" si="49">L92/I92</f>
        <v>0.37943907722357662</v>
      </c>
      <c r="N92" s="39">
        <f t="shared" ref="N92:N103" si="50">D92-E92</f>
        <v>6.1731510441846951E-2</v>
      </c>
      <c r="O92" s="39">
        <f t="shared" ref="O92:O103" si="51">F92-D92</f>
        <v>7.6296057323450517E-2</v>
      </c>
      <c r="P92" s="39">
        <f t="shared" ref="P92:P103" si="52">I92-J92</f>
        <v>2.606799779799833E-2</v>
      </c>
      <c r="Q92" s="39">
        <f t="shared" ref="Q92:Q103" si="53">K92-I92</f>
        <v>5.4088423948120953E-2</v>
      </c>
      <c r="R92" s="156">
        <f t="shared" ref="R92:R103" si="54">D92/C92</f>
        <v>1.2283895030842806</v>
      </c>
      <c r="S92" s="156">
        <f t="shared" ref="S92:S103" si="55">I92/C92</f>
        <v>0.94182364467344759</v>
      </c>
      <c r="T92" s="39">
        <f t="shared" ref="T92:T103" si="56">D92-I92</f>
        <v>2.9602253173839063E-2</v>
      </c>
      <c r="U92" s="241">
        <f t="shared" ref="U92:U103" si="57">F92-E92</f>
        <v>0.13802756776529745</v>
      </c>
      <c r="V92" s="241">
        <f t="shared" ref="V92:V103" si="58">K92-J92</f>
        <v>8.0156421746119283E-2</v>
      </c>
    </row>
    <row r="93" spans="2:24" x14ac:dyDescent="0.25">
      <c r="B93" s="51" t="s">
        <v>37</v>
      </c>
      <c r="C93" s="35">
        <v>5.6899999999999999E-2</v>
      </c>
      <c r="D93" s="162">
        <f t="shared" si="47"/>
        <v>8.5025786001693013E-2</v>
      </c>
      <c r="E93" s="52">
        <f t="shared" si="40"/>
        <v>5.5836558778553667E-2</v>
      </c>
      <c r="F93" s="53">
        <f t="shared" si="41"/>
        <v>0.10878955531693682</v>
      </c>
      <c r="G93" s="86">
        <f t="shared" si="42"/>
        <v>2.1864353624525511E-2</v>
      </c>
      <c r="H93" s="134">
        <f t="shared" si="48"/>
        <v>0.25714967955827134</v>
      </c>
      <c r="I93" s="163">
        <f>AVERAGE(F59,J59,N59,R59)</f>
        <v>7.1166091217589031E-2</v>
      </c>
      <c r="J93" s="52">
        <f t="shared" si="44"/>
        <v>5.6662028043373641E-2</v>
      </c>
      <c r="K93" s="53">
        <f t="shared" si="45"/>
        <v>8.5363650241408975E-2</v>
      </c>
      <c r="L93" s="84">
        <f t="shared" si="46"/>
        <v>1.4173976315002421E-2</v>
      </c>
      <c r="M93" s="152">
        <f t="shared" si="49"/>
        <v>0.19916755399233246</v>
      </c>
      <c r="N93" s="39">
        <f t="shared" si="50"/>
        <v>2.9189227223139345E-2</v>
      </c>
      <c r="O93" s="39">
        <f t="shared" si="51"/>
        <v>2.3763769315243807E-2</v>
      </c>
      <c r="P93" s="39">
        <f t="shared" si="52"/>
        <v>1.450406317421539E-2</v>
      </c>
      <c r="Q93" s="39">
        <f t="shared" si="53"/>
        <v>1.4197559023819945E-2</v>
      </c>
      <c r="R93" s="156">
        <f>D93/C93</f>
        <v>1.4943020386940775</v>
      </c>
      <c r="S93" s="156">
        <f>I93/C93</f>
        <v>1.2507221655112308</v>
      </c>
      <c r="T93" s="240">
        <f t="shared" si="56"/>
        <v>1.3859694784103982E-2</v>
      </c>
      <c r="U93" s="39">
        <f t="shared" si="57"/>
        <v>5.2952996538383153E-2</v>
      </c>
      <c r="V93" s="39">
        <f t="shared" si="58"/>
        <v>2.8701622198035334E-2</v>
      </c>
    </row>
    <row r="94" spans="2:24" x14ac:dyDescent="0.25">
      <c r="B94" s="54" t="s">
        <v>83</v>
      </c>
      <c r="C94" s="43">
        <v>1.6899999999999998E-2</v>
      </c>
      <c r="D94" s="169">
        <f t="shared" si="47"/>
        <v>1.8548878257868284E-2</v>
      </c>
      <c r="E94" s="55">
        <f t="shared" si="40"/>
        <v>4.5036581434452503E-3</v>
      </c>
      <c r="F94" s="56">
        <f t="shared" si="41"/>
        <v>3.6597821397625366E-2</v>
      </c>
      <c r="G94" s="87">
        <f t="shared" si="42"/>
        <v>1.3312574128711962E-2</v>
      </c>
      <c r="H94" s="133">
        <f t="shared" si="48"/>
        <v>0.71770238305730838</v>
      </c>
      <c r="I94" s="89">
        <f t="shared" si="43"/>
        <v>1.1266945601749841E-2</v>
      </c>
      <c r="J94" s="55">
        <f t="shared" si="44"/>
        <v>6.1449997438087507E-3</v>
      </c>
      <c r="K94" s="56">
        <f t="shared" si="45"/>
        <v>1.7534755344371614E-2</v>
      </c>
      <c r="L94" s="85">
        <f t="shared" si="46"/>
        <v>4.6981337705121794E-3</v>
      </c>
      <c r="M94" s="151">
        <f t="shared" si="49"/>
        <v>0.41698379814512676</v>
      </c>
      <c r="N94" s="39">
        <f t="shared" si="50"/>
        <v>1.4045220114423034E-2</v>
      </c>
      <c r="O94" s="39">
        <f t="shared" si="51"/>
        <v>1.8048943139757082E-2</v>
      </c>
      <c r="P94" s="39">
        <f t="shared" si="52"/>
        <v>5.1219458579410907E-3</v>
      </c>
      <c r="Q94" s="39">
        <f t="shared" si="53"/>
        <v>6.2678097426217723E-3</v>
      </c>
      <c r="R94" s="156">
        <f t="shared" si="54"/>
        <v>1.0975667608206086</v>
      </c>
      <c r="S94" s="156">
        <f t="shared" si="55"/>
        <v>0.66668317170117408</v>
      </c>
      <c r="T94" s="39">
        <f t="shared" si="56"/>
        <v>7.2819326561184422E-3</v>
      </c>
      <c r="U94" s="241">
        <f t="shared" si="57"/>
        <v>3.2094163254180116E-2</v>
      </c>
      <c r="V94" s="241">
        <f t="shared" si="58"/>
        <v>1.1389755600562863E-2</v>
      </c>
    </row>
    <row r="95" spans="2:24" x14ac:dyDescent="0.25">
      <c r="B95" s="51" t="s">
        <v>46</v>
      </c>
      <c r="C95" s="35">
        <v>2.3199999999999998E-2</v>
      </c>
      <c r="D95" s="52">
        <f t="shared" si="47"/>
        <v>1.6380436992602724E-2</v>
      </c>
      <c r="E95" s="52">
        <f t="shared" si="40"/>
        <v>3.3514434135864723E-3</v>
      </c>
      <c r="F95" s="53">
        <f t="shared" si="41"/>
        <v>2.7592197770056948E-2</v>
      </c>
      <c r="G95" s="86">
        <f t="shared" si="42"/>
        <v>1.0965197108003059E-2</v>
      </c>
      <c r="H95" s="134">
        <f t="shared" si="48"/>
        <v>0.66940809411585633</v>
      </c>
      <c r="I95" s="163">
        <f t="shared" si="43"/>
        <v>3.7431591682475673E-2</v>
      </c>
      <c r="J95" s="52">
        <f t="shared" si="44"/>
        <v>9.316441839654627E-3</v>
      </c>
      <c r="K95" s="53">
        <f t="shared" si="45"/>
        <v>5.8329386189174805E-2</v>
      </c>
      <c r="L95" s="84">
        <f t="shared" si="46"/>
        <v>2.184088704459702E-2</v>
      </c>
      <c r="M95" s="152">
        <f t="shared" si="49"/>
        <v>0.58348806617331894</v>
      </c>
      <c r="N95" s="39">
        <f t="shared" si="50"/>
        <v>1.3028993579016251E-2</v>
      </c>
      <c r="O95" s="39">
        <f t="shared" si="51"/>
        <v>1.1211760777454224E-2</v>
      </c>
      <c r="P95" s="39">
        <f t="shared" si="52"/>
        <v>2.8115149842821048E-2</v>
      </c>
      <c r="Q95" s="39">
        <f t="shared" si="53"/>
        <v>2.0897794506699131E-2</v>
      </c>
      <c r="R95" s="156">
        <f t="shared" si="54"/>
        <v>0.7060533186466692</v>
      </c>
      <c r="S95" s="156">
        <f t="shared" si="55"/>
        <v>1.6134306759687791</v>
      </c>
      <c r="T95" s="39">
        <f t="shared" si="56"/>
        <v>-2.1051154689872949E-2</v>
      </c>
      <c r="U95" s="39">
        <f t="shared" si="57"/>
        <v>2.4240754356470474E-2</v>
      </c>
      <c r="V95" s="39">
        <f t="shared" si="58"/>
        <v>4.9012944349520179E-2</v>
      </c>
    </row>
    <row r="96" spans="2:24" x14ac:dyDescent="0.25">
      <c r="B96" s="54" t="s">
        <v>47</v>
      </c>
      <c r="C96" s="43">
        <v>0.105</v>
      </c>
      <c r="D96" s="169">
        <f t="shared" si="47"/>
        <v>5.8681031129154085E-2</v>
      </c>
      <c r="E96" s="55">
        <f t="shared" si="40"/>
        <v>2.3199147509557472E-2</v>
      </c>
      <c r="F96" s="56">
        <f t="shared" si="41"/>
        <v>7.3355347049018263E-2</v>
      </c>
      <c r="G96" s="87">
        <f t="shared" si="42"/>
        <v>2.3961504724523273E-2</v>
      </c>
      <c r="H96" s="133">
        <f t="shared" si="48"/>
        <v>0.40833475934983438</v>
      </c>
      <c r="I96" s="168">
        <f t="shared" si="43"/>
        <v>9.4316416623964977E-2</v>
      </c>
      <c r="J96" s="55">
        <f t="shared" si="44"/>
        <v>3.8012429271180911E-2</v>
      </c>
      <c r="K96" s="56">
        <f t="shared" si="45"/>
        <v>0.13523560258261563</v>
      </c>
      <c r="L96" s="85">
        <f t="shared" si="46"/>
        <v>4.4288923646994327E-2</v>
      </c>
      <c r="M96" s="151">
        <f t="shared" si="49"/>
        <v>0.46957809925680422</v>
      </c>
      <c r="N96" s="39">
        <f t="shared" si="50"/>
        <v>3.5481883619596616E-2</v>
      </c>
      <c r="O96" s="39">
        <f t="shared" si="51"/>
        <v>1.4674315919864178E-2</v>
      </c>
      <c r="P96" s="39">
        <f t="shared" si="52"/>
        <v>5.6303987352784066E-2</v>
      </c>
      <c r="Q96" s="39">
        <f t="shared" si="53"/>
        <v>4.0919185958650656E-2</v>
      </c>
      <c r="R96" s="156">
        <f t="shared" si="54"/>
        <v>0.55886696313480078</v>
      </c>
      <c r="S96" s="156">
        <f t="shared" si="55"/>
        <v>0.89825158689490459</v>
      </c>
      <c r="T96" s="240">
        <f t="shared" si="56"/>
        <v>-3.5635385494810892E-2</v>
      </c>
      <c r="U96" s="241">
        <f t="shared" si="57"/>
        <v>5.0156199539460794E-2</v>
      </c>
      <c r="V96" s="241">
        <f t="shared" si="58"/>
        <v>9.7223173311434721E-2</v>
      </c>
      <c r="X96" t="s">
        <v>137</v>
      </c>
    </row>
    <row r="97" spans="2:22" x14ac:dyDescent="0.25">
      <c r="B97" s="51" t="s">
        <v>50</v>
      </c>
      <c r="C97" s="35">
        <v>0.1143</v>
      </c>
      <c r="D97" s="52">
        <f t="shared" si="47"/>
        <v>0.19810331432799372</v>
      </c>
      <c r="E97" s="52">
        <f t="shared" si="40"/>
        <v>0.11552624013467971</v>
      </c>
      <c r="F97" s="53">
        <f t="shared" si="41"/>
        <v>0.26706364795958315</v>
      </c>
      <c r="G97" s="86">
        <f t="shared" si="42"/>
        <v>6.8856571085707627E-2</v>
      </c>
      <c r="H97" s="134">
        <f t="shared" si="48"/>
        <v>0.34757909689337085</v>
      </c>
      <c r="I97" s="163">
        <f t="shared" si="43"/>
        <v>0.20800994190546646</v>
      </c>
      <c r="J97" s="52">
        <f t="shared" si="44"/>
        <v>0.13248679073301625</v>
      </c>
      <c r="K97" s="53">
        <f t="shared" si="45"/>
        <v>0.25451129592325189</v>
      </c>
      <c r="L97" s="84">
        <f t="shared" si="46"/>
        <v>5.470268412419884E-2</v>
      </c>
      <c r="M97" s="152">
        <f t="shared" si="49"/>
        <v>0.26298110380252582</v>
      </c>
      <c r="N97" s="39">
        <f t="shared" si="50"/>
        <v>8.2577074193314004E-2</v>
      </c>
      <c r="O97" s="39">
        <f t="shared" si="51"/>
        <v>6.8960333631589432E-2</v>
      </c>
      <c r="P97" s="39">
        <f t="shared" si="52"/>
        <v>7.5523151172450204E-2</v>
      </c>
      <c r="Q97" s="39">
        <f t="shared" si="53"/>
        <v>4.6501354017785435E-2</v>
      </c>
      <c r="R97" s="156">
        <f t="shared" si="54"/>
        <v>1.7331873519509511</v>
      </c>
      <c r="S97" s="156">
        <f t="shared" si="55"/>
        <v>1.8198595092341772</v>
      </c>
      <c r="T97" s="39">
        <f t="shared" si="56"/>
        <v>-9.9066275774727375E-3</v>
      </c>
      <c r="U97" s="39">
        <f t="shared" si="57"/>
        <v>0.15153740782490344</v>
      </c>
      <c r="V97" s="39">
        <f t="shared" si="58"/>
        <v>0.12202450519023564</v>
      </c>
    </row>
    <row r="98" spans="2:22" x14ac:dyDescent="0.25">
      <c r="B98" s="54" t="s">
        <v>56</v>
      </c>
      <c r="C98" s="43">
        <v>2.4400000000000002E-2</v>
      </c>
      <c r="D98" s="169">
        <f t="shared" si="47"/>
        <v>2.7954088056040632E-2</v>
      </c>
      <c r="E98" s="55">
        <f t="shared" si="40"/>
        <v>1.0872611246940308E-2</v>
      </c>
      <c r="F98" s="56">
        <f t="shared" si="41"/>
        <v>3.8632698825070026E-2</v>
      </c>
      <c r="G98" s="87">
        <f t="shared" si="42"/>
        <v>1.2077957036908119E-2</v>
      </c>
      <c r="H98" s="133">
        <f t="shared" si="48"/>
        <v>0.43206406922289775</v>
      </c>
      <c r="I98" s="168">
        <f t="shared" si="43"/>
        <v>3.9461995026920278E-2</v>
      </c>
      <c r="J98" s="55">
        <f t="shared" si="44"/>
        <v>1.4768258135210576E-2</v>
      </c>
      <c r="K98" s="56">
        <f t="shared" si="45"/>
        <v>6.4288170461475336E-2</v>
      </c>
      <c r="L98" s="85">
        <f t="shared" si="46"/>
        <v>2.4136537754320096E-2</v>
      </c>
      <c r="M98" s="151">
        <f t="shared" si="49"/>
        <v>0.61164007896343242</v>
      </c>
      <c r="N98" s="39">
        <f t="shared" si="50"/>
        <v>1.7081476809100327E-2</v>
      </c>
      <c r="O98" s="39">
        <f t="shared" si="51"/>
        <v>1.0678610769029394E-2</v>
      </c>
      <c r="P98" s="39">
        <f t="shared" si="52"/>
        <v>2.46937368917097E-2</v>
      </c>
      <c r="Q98" s="39">
        <f t="shared" si="53"/>
        <v>2.4826175434555058E-2</v>
      </c>
      <c r="R98" s="156">
        <f t="shared" si="54"/>
        <v>1.1456593465590423</v>
      </c>
      <c r="S98" s="156">
        <f t="shared" si="55"/>
        <v>1.6172948781524703</v>
      </c>
      <c r="T98" s="240">
        <f t="shared" si="56"/>
        <v>-1.1507906970879646E-2</v>
      </c>
      <c r="U98" s="241">
        <f t="shared" si="57"/>
        <v>2.776008757812972E-2</v>
      </c>
      <c r="V98" s="241">
        <f t="shared" si="58"/>
        <v>4.9519912326264758E-2</v>
      </c>
    </row>
    <row r="99" spans="2:22" x14ac:dyDescent="0.25">
      <c r="B99" s="51" t="s">
        <v>57</v>
      </c>
      <c r="C99" s="35">
        <v>5.7500000000000002E-2</v>
      </c>
      <c r="D99" s="52">
        <f t="shared" si="47"/>
        <v>4.889116916680529E-2</v>
      </c>
      <c r="E99" s="52">
        <f t="shared" si="40"/>
        <v>2.9452861575480129E-2</v>
      </c>
      <c r="F99" s="53">
        <f t="shared" si="41"/>
        <v>8.0666740719622959E-2</v>
      </c>
      <c r="G99" s="86">
        <f t="shared" si="42"/>
        <v>2.2090184967505172E-2</v>
      </c>
      <c r="H99" s="134">
        <f t="shared" si="48"/>
        <v>0.45182361853811681</v>
      </c>
      <c r="I99" s="163">
        <f t="shared" si="43"/>
        <v>0.11283811533687507</v>
      </c>
      <c r="J99" s="52">
        <f t="shared" si="44"/>
        <v>5.3279189230923771E-2</v>
      </c>
      <c r="K99" s="53">
        <f t="shared" si="45"/>
        <v>0.19204338922397909</v>
      </c>
      <c r="L99" s="84">
        <f t="shared" si="46"/>
        <v>7.0560332295608305E-2</v>
      </c>
      <c r="M99" s="152">
        <f t="shared" si="49"/>
        <v>0.62532356274253953</v>
      </c>
      <c r="N99" s="39">
        <f t="shared" si="50"/>
        <v>1.9438307591325161E-2</v>
      </c>
      <c r="O99" s="39">
        <f t="shared" si="51"/>
        <v>3.1775571552817669E-2</v>
      </c>
      <c r="P99" s="39">
        <f t="shared" si="52"/>
        <v>5.9558926105951301E-2</v>
      </c>
      <c r="Q99" s="39">
        <f t="shared" si="53"/>
        <v>7.9205273887104022E-2</v>
      </c>
      <c r="R99" s="156">
        <f t="shared" si="54"/>
        <v>0.85028120290096154</v>
      </c>
      <c r="S99" s="156">
        <f t="shared" si="55"/>
        <v>1.9624020058586968</v>
      </c>
      <c r="T99" s="240">
        <f t="shared" si="56"/>
        <v>-6.3946946170069782E-2</v>
      </c>
      <c r="U99" s="39">
        <f t="shared" si="57"/>
        <v>5.1213879144142826E-2</v>
      </c>
      <c r="V99" s="39">
        <f t="shared" si="58"/>
        <v>0.13876419999305534</v>
      </c>
    </row>
    <row r="100" spans="2:22" x14ac:dyDescent="0.25">
      <c r="B100" s="54" t="s">
        <v>60</v>
      </c>
      <c r="C100" s="43">
        <v>2.87E-2</v>
      </c>
      <c r="D100" s="55">
        <f>AVERAGE(D66,H66,L66,P66)</f>
        <v>2.7582779277550571E-2</v>
      </c>
      <c r="E100" s="55">
        <f t="shared" si="40"/>
        <v>1.1359813678514982E-2</v>
      </c>
      <c r="F100" s="56">
        <f t="shared" si="41"/>
        <v>3.7666081571472623E-2</v>
      </c>
      <c r="G100" s="87">
        <f t="shared" si="42"/>
        <v>1.1830819260172494E-2</v>
      </c>
      <c r="H100" s="133">
        <f t="shared" si="48"/>
        <v>0.42892049206228883</v>
      </c>
      <c r="I100" s="168">
        <f t="shared" si="43"/>
        <v>3.5377127503451823E-2</v>
      </c>
      <c r="J100" s="55">
        <f t="shared" si="44"/>
        <v>3.1205958700174161E-2</v>
      </c>
      <c r="K100" s="56">
        <f t="shared" si="45"/>
        <v>3.901689145316848E-2</v>
      </c>
      <c r="L100" s="85">
        <f t="shared" si="46"/>
        <v>4.1958891897469356E-3</v>
      </c>
      <c r="M100" s="151">
        <f t="shared" si="49"/>
        <v>0.11860457549408254</v>
      </c>
      <c r="N100" s="39">
        <f t="shared" si="50"/>
        <v>1.6222965599035591E-2</v>
      </c>
      <c r="O100" s="39">
        <f t="shared" si="51"/>
        <v>1.0083302293922052E-2</v>
      </c>
      <c r="P100" s="39">
        <f t="shared" si="52"/>
        <v>4.1711688032776625E-3</v>
      </c>
      <c r="Q100" s="39">
        <f t="shared" si="53"/>
        <v>3.6397639497166567E-3</v>
      </c>
      <c r="R100" s="156">
        <f t="shared" si="54"/>
        <v>0.96107244869514186</v>
      </c>
      <c r="S100" s="156">
        <f t="shared" si="55"/>
        <v>1.2326525262526769</v>
      </c>
      <c r="T100" s="39">
        <f t="shared" si="56"/>
        <v>-7.7943482259012521E-3</v>
      </c>
      <c r="U100" s="39">
        <f t="shared" si="57"/>
        <v>2.630626789295764E-2</v>
      </c>
      <c r="V100" s="39">
        <f t="shared" si="58"/>
        <v>7.8109327529943193E-3</v>
      </c>
    </row>
    <row r="101" spans="2:22" x14ac:dyDescent="0.25">
      <c r="B101" s="51" t="s">
        <v>67</v>
      </c>
      <c r="C101" s="35">
        <v>2.5700000000000001E-2</v>
      </c>
      <c r="D101" s="253">
        <f t="shared" si="47"/>
        <v>1.122499516738594E-2</v>
      </c>
      <c r="E101" s="52">
        <f t="shared" si="40"/>
        <v>2.4465936192586304E-3</v>
      </c>
      <c r="F101" s="53">
        <f t="shared" si="41"/>
        <v>2.2790780852279115E-2</v>
      </c>
      <c r="G101" s="86">
        <f t="shared" si="42"/>
        <v>1.0007289932823104E-2</v>
      </c>
      <c r="H101" s="134">
        <f t="shared" si="48"/>
        <v>0.89151841792316666</v>
      </c>
      <c r="I101" s="163">
        <f t="shared" si="43"/>
        <v>2.5610285976641708E-2</v>
      </c>
      <c r="J101" s="52">
        <f t="shared" si="44"/>
        <v>4.0351985237786645E-4</v>
      </c>
      <c r="K101" s="53">
        <f t="shared" si="45"/>
        <v>5.3281520014668043E-2</v>
      </c>
      <c r="L101" s="84">
        <f t="shared" si="46"/>
        <v>2.2266947097957263E-2</v>
      </c>
      <c r="M101" s="152">
        <f t="shared" si="49"/>
        <v>0.86945327819713558</v>
      </c>
      <c r="N101" s="39">
        <f t="shared" si="50"/>
        <v>8.7784015481273091E-3</v>
      </c>
      <c r="O101" s="39">
        <f t="shared" si="51"/>
        <v>1.1565785684893175E-2</v>
      </c>
      <c r="P101" s="39">
        <f t="shared" si="52"/>
        <v>2.5206766124263841E-2</v>
      </c>
      <c r="Q101" s="39">
        <f t="shared" si="53"/>
        <v>2.7671234038026335E-2</v>
      </c>
      <c r="R101" s="156">
        <f t="shared" si="54"/>
        <v>0.43677023997610659</v>
      </c>
      <c r="S101" s="156">
        <f t="shared" si="55"/>
        <v>0.99650918197049443</v>
      </c>
      <c r="T101" s="39">
        <f t="shared" si="56"/>
        <v>-1.4385290809255769E-2</v>
      </c>
      <c r="U101" s="39">
        <f t="shared" si="57"/>
        <v>2.0344187233020485E-2</v>
      </c>
      <c r="V101" s="39">
        <f t="shared" si="58"/>
        <v>5.2878000162290176E-2</v>
      </c>
    </row>
    <row r="102" spans="2:22" x14ac:dyDescent="0.25">
      <c r="B102" s="54" t="s">
        <v>69</v>
      </c>
      <c r="C102" s="43">
        <v>8.0999999999999996E-3</v>
      </c>
      <c r="D102" s="254">
        <f t="shared" si="47"/>
        <v>1.3004828018153981E-3</v>
      </c>
      <c r="E102" s="55">
        <f t="shared" si="40"/>
        <v>0</v>
      </c>
      <c r="F102" s="56">
        <f t="shared" si="41"/>
        <v>3.5062744131040984E-3</v>
      </c>
      <c r="G102" s="87">
        <f t="shared" si="42"/>
        <v>1.5377196542439024E-3</v>
      </c>
      <c r="H102" s="133">
        <f t="shared" si="48"/>
        <v>1.1824221374533639</v>
      </c>
      <c r="I102" s="255">
        <f t="shared" si="43"/>
        <v>3.2976578947262821E-3</v>
      </c>
      <c r="J102" s="55">
        <f t="shared" si="44"/>
        <v>0</v>
      </c>
      <c r="K102" s="56">
        <f t="shared" si="45"/>
        <v>1.0999999999999999E-2</v>
      </c>
      <c r="L102" s="85">
        <f t="shared" si="46"/>
        <v>5.1680605947050946E-3</v>
      </c>
      <c r="M102" s="151">
        <f t="shared" si="49"/>
        <v>1.5671912489679476</v>
      </c>
      <c r="N102" s="39">
        <f t="shared" si="50"/>
        <v>1.3004828018153981E-3</v>
      </c>
      <c r="O102" s="39">
        <f t="shared" si="51"/>
        <v>2.2057916112887006E-3</v>
      </c>
      <c r="P102" s="39">
        <f t="shared" si="52"/>
        <v>3.2976578947262821E-3</v>
      </c>
      <c r="Q102" s="39">
        <f t="shared" si="53"/>
        <v>7.7023421052737177E-3</v>
      </c>
      <c r="R102" s="156">
        <f t="shared" si="54"/>
        <v>0.16055343232288866</v>
      </c>
      <c r="S102" s="156">
        <f t="shared" si="55"/>
        <v>0.40711825860818301</v>
      </c>
      <c r="T102" s="39">
        <f t="shared" si="56"/>
        <v>-1.9971750929108842E-3</v>
      </c>
      <c r="U102" s="39">
        <f t="shared" si="57"/>
        <v>3.5062744131040984E-3</v>
      </c>
      <c r="V102" s="39">
        <f t="shared" si="58"/>
        <v>1.0999999999999999E-2</v>
      </c>
    </row>
    <row r="103" spans="2:22" x14ac:dyDescent="0.25">
      <c r="B103" s="57" t="s">
        <v>74</v>
      </c>
      <c r="C103" s="35">
        <v>0.12670000000000001</v>
      </c>
      <c r="D103" s="253">
        <f t="shared" si="47"/>
        <v>5.5849708689139903E-2</v>
      </c>
      <c r="E103" s="52">
        <f t="shared" si="40"/>
        <v>4.9543442643412504E-2</v>
      </c>
      <c r="F103" s="53">
        <f t="shared" si="41"/>
        <v>6.5080468506697534E-2</v>
      </c>
      <c r="G103" s="86">
        <f t="shared" si="42"/>
        <v>7.0323593950733926E-3</v>
      </c>
      <c r="H103" s="134">
        <f t="shared" si="48"/>
        <v>0.12591577575123233</v>
      </c>
      <c r="I103" s="163">
        <f t="shared" si="43"/>
        <v>9.2591365038466433E-2</v>
      </c>
      <c r="J103" s="52">
        <f t="shared" si="44"/>
        <v>6.3691204421557859E-2</v>
      </c>
      <c r="K103" s="53">
        <f t="shared" si="45"/>
        <v>0.11095612570054575</v>
      </c>
      <c r="L103" s="84">
        <f t="shared" si="46"/>
        <v>2.2060134077353136E-2</v>
      </c>
      <c r="M103" s="152">
        <f t="shared" si="49"/>
        <v>0.2382526066894943</v>
      </c>
      <c r="N103" s="39">
        <f t="shared" si="50"/>
        <v>6.3062660457273989E-3</v>
      </c>
      <c r="O103" s="39">
        <f t="shared" si="51"/>
        <v>9.2307598175576308E-3</v>
      </c>
      <c r="P103" s="39">
        <f t="shared" si="52"/>
        <v>2.8900160616908574E-2</v>
      </c>
      <c r="Q103" s="39">
        <f t="shared" si="53"/>
        <v>1.8364760662079316E-2</v>
      </c>
      <c r="R103" s="156">
        <f t="shared" si="54"/>
        <v>0.44080275208476638</v>
      </c>
      <c r="S103" s="156">
        <f t="shared" si="55"/>
        <v>0.73079214710707519</v>
      </c>
      <c r="T103" s="39">
        <f t="shared" si="56"/>
        <v>-3.6741656349326531E-2</v>
      </c>
      <c r="U103" s="39">
        <f t="shared" si="57"/>
        <v>1.553702586328503E-2</v>
      </c>
      <c r="V103" s="39">
        <f t="shared" si="58"/>
        <v>4.726492127898789E-2</v>
      </c>
    </row>
    <row r="105" spans="2:22" x14ac:dyDescent="0.25">
      <c r="C105" s="625" t="s">
        <v>91</v>
      </c>
      <c r="D105" s="625"/>
      <c r="E105" s="625"/>
      <c r="F105" s="625"/>
      <c r="G105" s="625"/>
      <c r="H105" s="625" t="s">
        <v>92</v>
      </c>
      <c r="I105" s="625"/>
      <c r="J105" s="625"/>
      <c r="K105" s="625"/>
      <c r="L105" s="625"/>
    </row>
    <row r="106" spans="2:22" ht="25.5" x14ac:dyDescent="0.25">
      <c r="C106" s="114" t="s">
        <v>103</v>
      </c>
      <c r="D106" s="114" t="s">
        <v>104</v>
      </c>
      <c r="E106" s="114" t="s">
        <v>105</v>
      </c>
      <c r="F106" s="114" t="s">
        <v>113</v>
      </c>
      <c r="G106" s="114" t="s">
        <v>114</v>
      </c>
      <c r="H106" s="114" t="s">
        <v>103</v>
      </c>
      <c r="I106" s="114" t="s">
        <v>104</v>
      </c>
      <c r="J106" s="114" t="s">
        <v>105</v>
      </c>
      <c r="K106" s="114" t="s">
        <v>113</v>
      </c>
      <c r="L106" s="114" t="s">
        <v>114</v>
      </c>
    </row>
    <row r="107" spans="2:22" x14ac:dyDescent="0.25">
      <c r="B107" s="51" t="s">
        <v>82</v>
      </c>
      <c r="C107" s="115">
        <f t="shared" ref="C107:C119" si="59">D91+SQRT((1/0.05)-1)*(G91/SQRT(4))</f>
        <v>0.58947430500595821</v>
      </c>
      <c r="D107" s="67">
        <f t="shared" ref="D107:D119" si="60">D91-(SQRT((1/0.05)-1)*G91/SQRT(4))</f>
        <v>5.7646096715514128E-2</v>
      </c>
      <c r="E107" s="67">
        <f t="shared" ref="E107:E119" si="61">SQRT((1/0.05)-1)*(G91/SQRT(4))</f>
        <v>0.26591410414522204</v>
      </c>
      <c r="F107" s="115">
        <f>(C107-D107)/2</f>
        <v>0.26591410414522204</v>
      </c>
      <c r="G107" s="67">
        <f t="shared" ref="G107:G119" si="62">F107/D91</f>
        <v>0.82183811061384016</v>
      </c>
      <c r="H107" s="67">
        <f t="shared" ref="H107:H119" si="63">I91+SQRT((1/0.05)-1)*(L91/SQRT(4))</f>
        <v>0.34598146447120415</v>
      </c>
      <c r="I107" s="67">
        <f t="shared" ref="I107:I119" si="64">I91-(SQRT((1/0.05)-1)*L91/SQRT(4))</f>
        <v>-3.4775373287836975E-3</v>
      </c>
      <c r="J107" s="115">
        <f t="shared" ref="J107:J119" si="65">SQRT((1/0.05)-1)*(L91/SQRT(4))</f>
        <v>0.17472950089999392</v>
      </c>
      <c r="K107" s="115">
        <f>(H107-I107)/2</f>
        <v>0.17472950089999392</v>
      </c>
      <c r="L107" s="115">
        <f t="shared" ref="L107:L119" si="66">K107/I91</f>
        <v>1.0203065544841923</v>
      </c>
    </row>
    <row r="108" spans="2:22" x14ac:dyDescent="0.25">
      <c r="B108" s="54" t="s">
        <v>31</v>
      </c>
      <c r="C108" s="116">
        <f t="shared" si="59"/>
        <v>0.26093694412733615</v>
      </c>
      <c r="D108" s="117">
        <f t="shared" si="60"/>
        <v>-7.151672790123742E-3</v>
      </c>
      <c r="E108" s="117">
        <f t="shared" si="61"/>
        <v>0.13404430845872994</v>
      </c>
      <c r="F108" s="116">
        <f t="shared" ref="F108:F119" si="67">(C108-D108)/2</f>
        <v>0.13404430845872994</v>
      </c>
      <c r="G108" s="117">
        <f t="shared" si="62"/>
        <v>1.0563600302920739</v>
      </c>
      <c r="H108" s="117">
        <f t="shared" si="63"/>
        <v>0.17774644436489903</v>
      </c>
      <c r="I108" s="117">
        <f t="shared" si="64"/>
        <v>1.6834320624635246E-2</v>
      </c>
      <c r="J108" s="116">
        <f t="shared" si="65"/>
        <v>8.0456061870131892E-2</v>
      </c>
      <c r="K108" s="116">
        <f t="shared" ref="K108:K119" si="68">(H108-I108)/2</f>
        <v>8.0456061870131892E-2</v>
      </c>
      <c r="L108" s="118">
        <f t="shared" si="66"/>
        <v>0.8269682964239482</v>
      </c>
    </row>
    <row r="109" spans="2:22" x14ac:dyDescent="0.25">
      <c r="B109" s="51" t="s">
        <v>37</v>
      </c>
      <c r="C109" s="115">
        <f t="shared" si="59"/>
        <v>0.132678039959265</v>
      </c>
      <c r="D109" s="67">
        <f t="shared" si="60"/>
        <v>3.7373532044121034E-2</v>
      </c>
      <c r="E109" s="67">
        <f t="shared" si="61"/>
        <v>4.7652253957571979E-2</v>
      </c>
      <c r="F109" s="115">
        <f t="shared" si="67"/>
        <v>4.7652253957571986E-2</v>
      </c>
      <c r="G109" s="67">
        <f t="shared" si="62"/>
        <v>0.56044473327918598</v>
      </c>
      <c r="H109" s="67">
        <f t="shared" si="63"/>
        <v>0.10205755641020632</v>
      </c>
      <c r="I109" s="67">
        <f t="shared" si="64"/>
        <v>4.0274626024971741E-2</v>
      </c>
      <c r="J109" s="115">
        <f t="shared" si="65"/>
        <v>3.0891465192617294E-2</v>
      </c>
      <c r="K109" s="115">
        <f t="shared" si="68"/>
        <v>3.089146519261729E-2</v>
      </c>
      <c r="L109" s="115">
        <f t="shared" si="66"/>
        <v>0.43407562034237901</v>
      </c>
    </row>
    <row r="110" spans="2:22" x14ac:dyDescent="0.25">
      <c r="B110" s="54" t="s">
        <v>83</v>
      </c>
      <c r="C110" s="116">
        <f t="shared" si="59"/>
        <v>4.7562960910593019E-2</v>
      </c>
      <c r="D110" s="117">
        <f t="shared" si="60"/>
        <v>-1.0465204394856455E-2</v>
      </c>
      <c r="E110" s="117">
        <f t="shared" si="61"/>
        <v>2.9014082652724739E-2</v>
      </c>
      <c r="F110" s="116">
        <f t="shared" si="67"/>
        <v>2.9014082652724739E-2</v>
      </c>
      <c r="G110" s="117">
        <f t="shared" si="62"/>
        <v>1.5641960796425627</v>
      </c>
      <c r="H110" s="117">
        <f t="shared" si="63"/>
        <v>2.150629076619899E-2</v>
      </c>
      <c r="I110" s="117">
        <f t="shared" si="64"/>
        <v>1.0276004373006905E-3</v>
      </c>
      <c r="J110" s="116">
        <f t="shared" si="65"/>
        <v>1.0239345164449151E-2</v>
      </c>
      <c r="K110" s="116">
        <f>(H110-I110)/2</f>
        <v>1.0239345164449149E-2</v>
      </c>
      <c r="L110" s="116">
        <f t="shared" si="66"/>
        <v>0.90879511860418516</v>
      </c>
    </row>
    <row r="111" spans="2:22" x14ac:dyDescent="0.25">
      <c r="B111" s="51" t="s">
        <v>46</v>
      </c>
      <c r="C111" s="115">
        <f t="shared" si="59"/>
        <v>4.0278530037497623E-2</v>
      </c>
      <c r="D111" s="67">
        <f t="shared" si="60"/>
        <v>-7.5176560522921716E-3</v>
      </c>
      <c r="E111" s="67">
        <f t="shared" si="61"/>
        <v>2.3898093044894896E-2</v>
      </c>
      <c r="F111" s="115">
        <f t="shared" si="67"/>
        <v>2.3898093044894896E-2</v>
      </c>
      <c r="G111" s="67">
        <f t="shared" si="62"/>
        <v>1.4589411171195912</v>
      </c>
      <c r="H111" s="67">
        <f t="shared" si="63"/>
        <v>8.5032701414818251E-2</v>
      </c>
      <c r="I111" s="67">
        <f t="shared" si="64"/>
        <v>-1.0169518049866898E-2</v>
      </c>
      <c r="J111" s="115">
        <f t="shared" si="65"/>
        <v>4.7601109732342571E-2</v>
      </c>
      <c r="K111" s="115">
        <f t="shared" si="68"/>
        <v>4.7601109732342578E-2</v>
      </c>
      <c r="L111" s="115">
        <f t="shared" si="66"/>
        <v>1.2716827576057355</v>
      </c>
    </row>
    <row r="112" spans="2:22" x14ac:dyDescent="0.25">
      <c r="B112" s="54" t="s">
        <v>47</v>
      </c>
      <c r="C112" s="116">
        <f t="shared" si="59"/>
        <v>0.11090391994383877</v>
      </c>
      <c r="D112" s="117">
        <f t="shared" si="60"/>
        <v>6.458142314469402E-3</v>
      </c>
      <c r="E112" s="117">
        <f t="shared" si="61"/>
        <v>5.2222888814684683E-2</v>
      </c>
      <c r="F112" s="116">
        <f t="shared" si="67"/>
        <v>5.222288881468469E-2</v>
      </c>
      <c r="G112" s="117">
        <f t="shared" si="62"/>
        <v>0.88994497557046437</v>
      </c>
      <c r="H112" s="117">
        <f t="shared" si="63"/>
        <v>0.19084188787168355</v>
      </c>
      <c r="I112" s="117">
        <f t="shared" si="64"/>
        <v>-2.2090546237535924E-3</v>
      </c>
      <c r="J112" s="116">
        <f t="shared" si="65"/>
        <v>9.6525471247718569E-2</v>
      </c>
      <c r="K112" s="116">
        <f t="shared" si="68"/>
        <v>9.6525471247718569E-2</v>
      </c>
      <c r="L112" s="116">
        <f t="shared" si="66"/>
        <v>1.0234217403801609</v>
      </c>
    </row>
    <row r="113" spans="1:14" x14ac:dyDescent="0.25">
      <c r="B113" s="51" t="s">
        <v>50</v>
      </c>
      <c r="C113" s="115">
        <f t="shared" si="59"/>
        <v>0.34817273180865588</v>
      </c>
      <c r="D113" s="67">
        <f t="shared" si="60"/>
        <v>4.8033896847331559E-2</v>
      </c>
      <c r="E113" s="67">
        <f t="shared" si="61"/>
        <v>0.15006941748066216</v>
      </c>
      <c r="F113" s="115">
        <f t="shared" si="67"/>
        <v>0.15006941748066216</v>
      </c>
      <c r="G113" s="68">
        <f t="shared" si="62"/>
        <v>0.75753107912266793</v>
      </c>
      <c r="H113" s="67">
        <f t="shared" si="63"/>
        <v>0.32723167792437124</v>
      </c>
      <c r="I113" s="67">
        <f t="shared" si="64"/>
        <v>8.8788205886561694E-2</v>
      </c>
      <c r="J113" s="115">
        <f t="shared" si="65"/>
        <v>0.11922173601890476</v>
      </c>
      <c r="K113" s="115">
        <f t="shared" si="68"/>
        <v>0.11922173601890478</v>
      </c>
      <c r="L113" s="115">
        <f t="shared" si="66"/>
        <v>0.57315402776799518</v>
      </c>
    </row>
    <row r="114" spans="1:14" x14ac:dyDescent="0.25">
      <c r="B114" s="54" t="s">
        <v>56</v>
      </c>
      <c r="C114" s="116">
        <f t="shared" si="59"/>
        <v>5.4277385140194853E-2</v>
      </c>
      <c r="D114" s="117">
        <f t="shared" si="60"/>
        <v>1.6307909718864082E-3</v>
      </c>
      <c r="E114" s="117">
        <f t="shared" si="61"/>
        <v>2.6323297084154224E-2</v>
      </c>
      <c r="F114" s="116">
        <f t="shared" si="67"/>
        <v>2.6323297084154221E-2</v>
      </c>
      <c r="G114" s="117">
        <f t="shared" si="62"/>
        <v>0.94166180743878669</v>
      </c>
      <c r="H114" s="117">
        <f t="shared" si="63"/>
        <v>9.2066359485937999E-2</v>
      </c>
      <c r="I114" s="117">
        <f t="shared" si="64"/>
        <v>-1.3142369432097449E-2</v>
      </c>
      <c r="J114" s="116">
        <f t="shared" si="65"/>
        <v>5.2604364459017727E-2</v>
      </c>
      <c r="K114" s="116">
        <f t="shared" si="68"/>
        <v>5.2604364459017727E-2</v>
      </c>
      <c r="L114" s="116">
        <f t="shared" si="66"/>
        <v>1.3330386470104199</v>
      </c>
    </row>
    <row r="115" spans="1:14" x14ac:dyDescent="0.25">
      <c r="B115" s="51" t="s">
        <v>57</v>
      </c>
      <c r="C115" s="115">
        <f t="shared" si="59"/>
        <v>9.7035611125543486E-2</v>
      </c>
      <c r="D115" s="67">
        <f t="shared" si="60"/>
        <v>7.4672720806710086E-4</v>
      </c>
      <c r="E115" s="67">
        <f t="shared" si="61"/>
        <v>4.8144441958738189E-2</v>
      </c>
      <c r="F115" s="115">
        <f t="shared" si="67"/>
        <v>4.8144441958738196E-2</v>
      </c>
      <c r="G115" s="67">
        <f t="shared" si="62"/>
        <v>0.98472674675626115</v>
      </c>
      <c r="H115" s="67">
        <f t="shared" si="63"/>
        <v>0.266620794286478</v>
      </c>
      <c r="I115" s="67">
        <f t="shared" si="64"/>
        <v>-4.0944563612727886E-2</v>
      </c>
      <c r="J115" s="115">
        <f t="shared" si="65"/>
        <v>0.15378267894960296</v>
      </c>
      <c r="K115" s="115">
        <f t="shared" si="68"/>
        <v>0.15378267894960296</v>
      </c>
      <c r="L115" s="115">
        <f t="shared" si="66"/>
        <v>1.3628611085047728</v>
      </c>
    </row>
    <row r="116" spans="1:14" x14ac:dyDescent="0.25">
      <c r="B116" s="54" t="s">
        <v>60</v>
      </c>
      <c r="C116" s="116">
        <f t="shared" si="59"/>
        <v>5.3367452064743845E-2</v>
      </c>
      <c r="D116" s="117">
        <f t="shared" si="60"/>
        <v>1.7981064903573006E-3</v>
      </c>
      <c r="E116" s="117">
        <f t="shared" si="61"/>
        <v>2.578467278719327E-2</v>
      </c>
      <c r="F116" s="116">
        <f t="shared" si="67"/>
        <v>2.578467278719327E-2</v>
      </c>
      <c r="G116" s="117">
        <f t="shared" si="62"/>
        <v>0.93481053985662832</v>
      </c>
      <c r="H116" s="117">
        <f t="shared" si="63"/>
        <v>4.4521855981652647E-2</v>
      </c>
      <c r="I116" s="117">
        <f t="shared" si="64"/>
        <v>2.6232399025250999E-2</v>
      </c>
      <c r="J116" s="116">
        <f t="shared" si="65"/>
        <v>9.1447284782008257E-3</v>
      </c>
      <c r="K116" s="116">
        <f t="shared" si="68"/>
        <v>9.144728478200824E-3</v>
      </c>
      <c r="L116" s="116">
        <f t="shared" si="66"/>
        <v>0.25849267941012322</v>
      </c>
    </row>
    <row r="117" spans="1:14" x14ac:dyDescent="0.25">
      <c r="B117" s="51" t="s">
        <v>67</v>
      </c>
      <c r="C117" s="115">
        <f t="shared" si="59"/>
        <v>3.3035377925329866E-2</v>
      </c>
      <c r="D117" s="67">
        <f t="shared" si="60"/>
        <v>-1.0585387590557986E-2</v>
      </c>
      <c r="E117" s="67">
        <f t="shared" si="61"/>
        <v>2.1810382757943926E-2</v>
      </c>
      <c r="F117" s="115">
        <f t="shared" si="67"/>
        <v>2.1810382757943926E-2</v>
      </c>
      <c r="G117" s="67">
        <f t="shared" si="62"/>
        <v>1.9430193450161721</v>
      </c>
      <c r="H117" s="67">
        <f t="shared" si="63"/>
        <v>7.4139972067222698E-2</v>
      </c>
      <c r="I117" s="67">
        <f t="shared" si="64"/>
        <v>-2.2919400113939288E-2</v>
      </c>
      <c r="J117" s="115">
        <f t="shared" si="65"/>
        <v>4.8529686090580997E-2</v>
      </c>
      <c r="K117" s="115">
        <f t="shared" si="68"/>
        <v>4.852968609058099E-2</v>
      </c>
      <c r="L117" s="115">
        <f t="shared" si="66"/>
        <v>1.8949294878957348</v>
      </c>
    </row>
    <row r="118" spans="1:14" x14ac:dyDescent="0.25">
      <c r="B118" s="54" t="s">
        <v>69</v>
      </c>
      <c r="C118" s="116">
        <f t="shared" si="59"/>
        <v>4.6518650899881366E-3</v>
      </c>
      <c r="D118" s="117">
        <f t="shared" si="60"/>
        <v>-2.0508994863573399E-3</v>
      </c>
      <c r="E118" s="117">
        <f t="shared" si="61"/>
        <v>3.3513822881727382E-3</v>
      </c>
      <c r="F118" s="116">
        <f t="shared" si="67"/>
        <v>3.3513822881727382E-3</v>
      </c>
      <c r="G118" s="117">
        <f t="shared" si="62"/>
        <v>2.5770293028822868</v>
      </c>
      <c r="H118" s="117">
        <f t="shared" si="63"/>
        <v>1.4561184827933393E-2</v>
      </c>
      <c r="I118" s="117">
        <f t="shared" si="64"/>
        <v>-7.9658690384808301E-3</v>
      </c>
      <c r="J118" s="116">
        <f t="shared" si="65"/>
        <v>1.1263526933207112E-2</v>
      </c>
      <c r="K118" s="116">
        <f t="shared" si="68"/>
        <v>1.1263526933207112E-2</v>
      </c>
      <c r="L118" s="116">
        <f t="shared" si="66"/>
        <v>3.415614139726288</v>
      </c>
    </row>
    <row r="119" spans="1:14" x14ac:dyDescent="0.25">
      <c r="B119" s="57" t="s">
        <v>74</v>
      </c>
      <c r="C119" s="115">
        <f t="shared" si="59"/>
        <v>7.1176380658031779E-2</v>
      </c>
      <c r="D119" s="67">
        <f t="shared" si="60"/>
        <v>4.0523036720248033E-2</v>
      </c>
      <c r="E119" s="67">
        <f t="shared" si="61"/>
        <v>1.5326671968891871E-2</v>
      </c>
      <c r="F119" s="115">
        <f t="shared" si="67"/>
        <v>1.5326671968891873E-2</v>
      </c>
      <c r="G119" s="67">
        <f t="shared" si="62"/>
        <v>0.27442707094857555</v>
      </c>
      <c r="H119" s="67">
        <f t="shared" si="63"/>
        <v>0.14067031260053653</v>
      </c>
      <c r="I119" s="67">
        <f t="shared" si="64"/>
        <v>4.4512417476396331E-2</v>
      </c>
      <c r="J119" s="115">
        <f t="shared" si="65"/>
        <v>4.8078947562070103E-2</v>
      </c>
      <c r="K119" s="115">
        <f t="shared" si="68"/>
        <v>4.8078947562070096E-2</v>
      </c>
      <c r="L119" s="115">
        <f t="shared" si="66"/>
        <v>0.51925951779732415</v>
      </c>
    </row>
    <row r="120" spans="1:14" x14ac:dyDescent="0.25">
      <c r="D120" s="39"/>
    </row>
    <row r="121" spans="1:14" x14ac:dyDescent="0.25">
      <c r="D121" s="39"/>
    </row>
    <row r="124" spans="1:14" ht="15.75" thickBot="1" x14ac:dyDescent="0.3"/>
    <row r="125" spans="1:14" ht="22.5" customHeight="1" x14ac:dyDescent="0.25">
      <c r="A125" s="208" t="s">
        <v>20</v>
      </c>
      <c r="B125" s="209" t="s">
        <v>21</v>
      </c>
      <c r="C125" s="210" t="s">
        <v>85</v>
      </c>
      <c r="D125" s="210" t="s">
        <v>92</v>
      </c>
      <c r="E125" s="211" t="s">
        <v>91</v>
      </c>
    </row>
    <row r="126" spans="1:14" ht="18" customHeight="1" x14ac:dyDescent="0.25">
      <c r="A126" s="622" t="s">
        <v>31</v>
      </c>
      <c r="B126" s="58" t="s">
        <v>33</v>
      </c>
      <c r="C126" s="83">
        <f>T12</f>
        <v>4.2259697677216504E-2</v>
      </c>
      <c r="D126" s="83">
        <f>V12</f>
        <v>3.5624399948827011E-2</v>
      </c>
      <c r="E126" s="212">
        <f>X12</f>
        <v>4.8894995405606004E-2</v>
      </c>
      <c r="F126" s="39"/>
      <c r="H126" s="39"/>
    </row>
    <row r="127" spans="1:14" ht="18" customHeight="1" x14ac:dyDescent="0.25">
      <c r="A127" s="623"/>
      <c r="B127" s="144" t="s">
        <v>34</v>
      </c>
      <c r="C127" s="145">
        <f>T13</f>
        <v>8.7496358425200333E-3</v>
      </c>
      <c r="D127" s="145">
        <f>V13</f>
        <v>1.1814884618449119E-2</v>
      </c>
      <c r="E127" s="213">
        <f>X13</f>
        <v>5.6843870665909471E-3</v>
      </c>
      <c r="F127" s="39"/>
    </row>
    <row r="128" spans="1:14" ht="18" customHeight="1" x14ac:dyDescent="0.25">
      <c r="A128" s="623"/>
      <c r="B128" s="207" t="s">
        <v>35</v>
      </c>
      <c r="C128" s="61">
        <f>T14</f>
        <v>2.7282356223172939E-2</v>
      </c>
      <c r="D128" s="61">
        <f>V14</f>
        <v>1.3792453478873869E-2</v>
      </c>
      <c r="E128" s="214">
        <f>X14</f>
        <v>4.0772258967472011E-2</v>
      </c>
      <c r="F128" s="39"/>
      <c r="J128" s="70"/>
      <c r="K128" s="71"/>
      <c r="L128" s="72"/>
      <c r="M128" s="72"/>
      <c r="N128" s="72"/>
    </row>
    <row r="129" spans="1:14" ht="18" customHeight="1" x14ac:dyDescent="0.25">
      <c r="A129" s="623"/>
      <c r="B129" s="81" t="str">
        <f>B11</f>
        <v>Emballages papier</v>
      </c>
      <c r="C129" s="64">
        <f>T11</f>
        <v>9.3272951197003323E-3</v>
      </c>
      <c r="D129" s="64">
        <f>V11</f>
        <v>8.6937834267982982E-3</v>
      </c>
      <c r="E129" s="215">
        <f>X11</f>
        <v>9.9608068126023647E-3</v>
      </c>
      <c r="F129" s="39"/>
      <c r="J129" s="80"/>
      <c r="K129" s="73"/>
      <c r="L129" s="74"/>
      <c r="M129" s="74"/>
      <c r="N129" s="74"/>
    </row>
    <row r="130" spans="1:14" ht="18" customHeight="1" x14ac:dyDescent="0.25">
      <c r="A130" s="624"/>
      <c r="B130" s="82" t="str">
        <f>B15</f>
        <v xml:space="preserve">Autres papiers </v>
      </c>
      <c r="C130" s="65">
        <f>T15</f>
        <v>2.4472524219076853E-2</v>
      </c>
      <c r="D130" s="65">
        <f>V15</f>
        <v>2.7364861021818843E-2</v>
      </c>
      <c r="E130" s="216">
        <f>X15</f>
        <v>2.1580187416334863E-2</v>
      </c>
      <c r="F130" s="39"/>
      <c r="J130" s="80"/>
      <c r="K130" s="73"/>
      <c r="L130" s="74"/>
      <c r="M130" s="74"/>
      <c r="N130" s="74"/>
    </row>
    <row r="131" spans="1:14" ht="18" customHeight="1" x14ac:dyDescent="0.25">
      <c r="A131" s="622" t="s">
        <v>37</v>
      </c>
      <c r="B131" s="144" t="s">
        <v>38</v>
      </c>
      <c r="C131" s="145">
        <f>T16</f>
        <v>3.3319967294286712E-2</v>
      </c>
      <c r="D131" s="145">
        <f>V16</f>
        <v>2.7561557968166863E-2</v>
      </c>
      <c r="E131" s="213">
        <f>X16</f>
        <v>3.9078376620406578E-2</v>
      </c>
      <c r="F131" s="39"/>
      <c r="J131" s="80"/>
      <c r="K131" s="73"/>
      <c r="L131" s="74"/>
      <c r="M131" s="74"/>
      <c r="N131" s="74"/>
    </row>
    <row r="132" spans="1:14" ht="18" customHeight="1" x14ac:dyDescent="0.25">
      <c r="A132" s="623"/>
      <c r="B132" s="207" t="s">
        <v>39</v>
      </c>
      <c r="C132" s="61">
        <f>T17</f>
        <v>3.6044458277954203E-2</v>
      </c>
      <c r="D132" s="61">
        <f>V17</f>
        <v>3.6039268757813318E-2</v>
      </c>
      <c r="E132" s="214">
        <f>X17</f>
        <v>3.6049647798095094E-2</v>
      </c>
      <c r="F132" s="39"/>
      <c r="J132" s="80"/>
      <c r="K132" s="75"/>
      <c r="L132" s="74"/>
      <c r="M132" s="74"/>
      <c r="N132" s="74"/>
    </row>
    <row r="133" spans="1:14" ht="18" customHeight="1" x14ac:dyDescent="0.25">
      <c r="A133" s="624"/>
      <c r="B133" s="144" t="s">
        <v>40</v>
      </c>
      <c r="C133" s="145">
        <f>T18</f>
        <v>8.7315130374000897E-3</v>
      </c>
      <c r="D133" s="145">
        <f>V18</f>
        <v>7.5652644916088512E-3</v>
      </c>
      <c r="E133" s="213">
        <f>X18</f>
        <v>9.89776158319133E-3</v>
      </c>
      <c r="F133" s="39"/>
      <c r="J133" s="80"/>
      <c r="K133" s="75"/>
      <c r="L133" s="74"/>
      <c r="M133" s="74"/>
      <c r="N133" s="74"/>
    </row>
    <row r="134" spans="1:14" ht="18" customHeight="1" x14ac:dyDescent="0.25">
      <c r="A134" s="592" t="s">
        <v>41</v>
      </c>
      <c r="B134" s="207" t="s">
        <v>42</v>
      </c>
      <c r="C134" s="146">
        <f>T19</f>
        <v>4.484572044613961E-3</v>
      </c>
      <c r="D134" s="146">
        <f>V19</f>
        <v>3.220895282045839E-3</v>
      </c>
      <c r="E134" s="217">
        <f>X19</f>
        <v>5.7482488071820843E-3</v>
      </c>
      <c r="F134" s="39"/>
      <c r="J134" s="80"/>
      <c r="K134" s="73"/>
      <c r="L134" s="74"/>
      <c r="M134" s="74"/>
      <c r="N134" s="74"/>
    </row>
    <row r="135" spans="1:14" ht="18" customHeight="1" x14ac:dyDescent="0.25">
      <c r="A135" s="592"/>
      <c r="B135" s="144" t="s">
        <v>44</v>
      </c>
      <c r="C135" s="145">
        <f>T21</f>
        <v>1.2475540773818577E-4</v>
      </c>
      <c r="D135" s="145">
        <f>V21</f>
        <v>2.4951081547637153E-4</v>
      </c>
      <c r="E135" s="213">
        <f>X21</f>
        <v>0</v>
      </c>
      <c r="F135" s="39"/>
      <c r="J135" s="80"/>
      <c r="K135" s="73"/>
      <c r="L135" s="74"/>
      <c r="M135" s="74"/>
      <c r="N135" s="74"/>
    </row>
    <row r="136" spans="1:14" ht="18" customHeight="1" x14ac:dyDescent="0.25">
      <c r="A136" s="592" t="s">
        <v>50</v>
      </c>
      <c r="B136" s="207" t="s">
        <v>52</v>
      </c>
      <c r="C136" s="61">
        <f>T27</f>
        <v>2.589532483331982E-2</v>
      </c>
      <c r="D136" s="61">
        <f>V27</f>
        <v>2.5929017984233811E-2</v>
      </c>
      <c r="E136" s="214">
        <f>X27</f>
        <v>2.5861631682405829E-2</v>
      </c>
      <c r="F136" s="39"/>
      <c r="J136" s="80"/>
      <c r="K136" s="73"/>
      <c r="L136" s="74"/>
      <c r="M136" s="74"/>
      <c r="N136" s="74"/>
    </row>
    <row r="137" spans="1:14" ht="18" customHeight="1" x14ac:dyDescent="0.25">
      <c r="A137" s="592"/>
      <c r="B137" s="144" t="s">
        <v>53</v>
      </c>
      <c r="C137" s="145">
        <f>T28</f>
        <v>9.8366154628016234E-3</v>
      </c>
      <c r="D137" s="145">
        <f>V28</f>
        <v>1.069011354362738E-2</v>
      </c>
      <c r="E137" s="213">
        <f>X28</f>
        <v>8.9831173819758681E-3</v>
      </c>
      <c r="F137" s="39"/>
      <c r="J137" s="80"/>
      <c r="K137" s="73"/>
      <c r="L137" s="74"/>
      <c r="M137" s="74"/>
      <c r="N137" s="74"/>
    </row>
    <row r="138" spans="1:14" ht="18" customHeight="1" x14ac:dyDescent="0.25">
      <c r="A138" s="592" t="s">
        <v>60</v>
      </c>
      <c r="B138" s="207" t="s">
        <v>61</v>
      </c>
      <c r="C138" s="146">
        <f>T34</f>
        <v>1.9982204305899916E-2</v>
      </c>
      <c r="D138" s="146">
        <f>V34</f>
        <v>2.164283788139652E-2</v>
      </c>
      <c r="E138" s="217">
        <f>X34</f>
        <v>1.832157073040331E-2</v>
      </c>
      <c r="F138" s="147"/>
      <c r="J138" s="70"/>
      <c r="K138" s="73"/>
      <c r="L138" s="74"/>
      <c r="M138" s="74"/>
      <c r="N138" s="74"/>
    </row>
    <row r="139" spans="1:14" ht="18" customHeight="1" x14ac:dyDescent="0.25">
      <c r="A139" s="592"/>
      <c r="B139" s="144" t="s">
        <v>62</v>
      </c>
      <c r="C139" s="145">
        <f>T35</f>
        <v>4.7308318464007182E-3</v>
      </c>
      <c r="D139" s="145">
        <f>V35</f>
        <v>5.0259574459643368E-3</v>
      </c>
      <c r="E139" s="213">
        <f>X35</f>
        <v>4.4357062468371004E-3</v>
      </c>
      <c r="F139" s="39"/>
      <c r="J139" s="80"/>
      <c r="K139" s="73"/>
      <c r="L139" s="74"/>
      <c r="M139" s="74"/>
      <c r="N139" s="74"/>
    </row>
    <row r="140" spans="1:14" ht="18" customHeight="1" x14ac:dyDescent="0.25">
      <c r="A140" s="592"/>
      <c r="B140" s="207" t="s">
        <v>63</v>
      </c>
      <c r="C140" s="146">
        <f>T36</f>
        <v>0</v>
      </c>
      <c r="D140" s="146">
        <f>V36</f>
        <v>0</v>
      </c>
      <c r="E140" s="217">
        <f>X36</f>
        <v>0</v>
      </c>
      <c r="F140" s="39"/>
      <c r="J140" s="80"/>
      <c r="K140" s="73"/>
      <c r="L140" s="74"/>
      <c r="M140" s="74"/>
      <c r="N140" s="74"/>
    </row>
    <row r="141" spans="1:14" ht="18" customHeight="1" x14ac:dyDescent="0.25">
      <c r="A141" s="592"/>
      <c r="B141" s="144" t="s">
        <v>64</v>
      </c>
      <c r="C141" s="145">
        <f>T37</f>
        <v>0</v>
      </c>
      <c r="D141" s="145">
        <f>V37</f>
        <v>0</v>
      </c>
      <c r="E141" s="213">
        <f>X37</f>
        <v>0</v>
      </c>
      <c r="F141" s="39"/>
      <c r="J141" s="80"/>
      <c r="K141" s="73"/>
      <c r="L141" s="74"/>
      <c r="M141" s="74"/>
      <c r="N141" s="74"/>
    </row>
    <row r="142" spans="1:14" ht="30.75" customHeight="1" x14ac:dyDescent="0.25">
      <c r="A142" s="218" t="s">
        <v>57</v>
      </c>
      <c r="B142" s="207" t="s">
        <v>58</v>
      </c>
      <c r="C142" s="61">
        <f>T32</f>
        <v>6.5291015453675411E-2</v>
      </c>
      <c r="D142" s="62">
        <f>V32</f>
        <v>9.4481888493999994E-2</v>
      </c>
      <c r="E142" s="219">
        <f>X32</f>
        <v>3.61001424133508E-2</v>
      </c>
      <c r="F142" s="39"/>
      <c r="J142" s="80"/>
      <c r="K142" s="73"/>
      <c r="L142" s="74"/>
      <c r="M142" s="74"/>
      <c r="N142" s="74"/>
    </row>
    <row r="143" spans="1:14" ht="30" customHeight="1" thickBot="1" x14ac:dyDescent="0.3">
      <c r="A143" s="644" t="s">
        <v>102</v>
      </c>
      <c r="B143" s="645"/>
      <c r="C143" s="142">
        <f>SUM(C126:C142)</f>
        <v>0.32053276704577727</v>
      </c>
      <c r="D143" s="143">
        <f>SUM(D126:D142)</f>
        <v>0.32969669515910038</v>
      </c>
      <c r="E143" s="220">
        <f>SUM(E126:E142)</f>
        <v>0.31136883893245415</v>
      </c>
      <c r="F143" s="39"/>
      <c r="J143" s="80"/>
      <c r="K143" s="73"/>
      <c r="L143" s="74"/>
      <c r="M143" s="74"/>
      <c r="N143" s="74"/>
    </row>
    <row r="144" spans="1:14" ht="18" customHeight="1" x14ac:dyDescent="0.25">
      <c r="A144" s="218" t="s">
        <v>45</v>
      </c>
      <c r="B144" s="178" t="s">
        <v>46</v>
      </c>
      <c r="C144" s="179">
        <f>T23</f>
        <v>2.6906014337539197E-2</v>
      </c>
      <c r="D144" s="179">
        <f>V23</f>
        <v>3.7431591682475673E-2</v>
      </c>
      <c r="E144" s="221">
        <f>X23</f>
        <v>1.6380436992602724E-2</v>
      </c>
      <c r="F144" s="39"/>
      <c r="J144" s="80"/>
      <c r="K144" s="73"/>
      <c r="L144" s="74"/>
      <c r="M144" s="74"/>
      <c r="N144" s="74"/>
    </row>
    <row r="145" spans="1:14" ht="18" customHeight="1" x14ac:dyDescent="0.25">
      <c r="A145" s="630" t="s">
        <v>69</v>
      </c>
      <c r="B145" s="182" t="s">
        <v>121</v>
      </c>
      <c r="C145" s="183">
        <f>T41</f>
        <v>7.3270091948627778E-4</v>
      </c>
      <c r="D145" s="183">
        <f>V41</f>
        <v>4.3991903715715755E-4</v>
      </c>
      <c r="E145" s="222">
        <f>X41</f>
        <v>1.025482801815398E-3</v>
      </c>
      <c r="F145" s="39"/>
      <c r="J145" s="80"/>
      <c r="K145" s="73"/>
      <c r="L145" s="74"/>
      <c r="M145" s="74"/>
      <c r="N145" s="74"/>
    </row>
    <row r="146" spans="1:14" ht="28.5" customHeight="1" x14ac:dyDescent="0.25">
      <c r="A146" s="630"/>
      <c r="B146" s="181" t="s">
        <v>70</v>
      </c>
      <c r="C146" s="108">
        <f t="shared" ref="C146:C154" si="69">T42</f>
        <v>0</v>
      </c>
      <c r="D146" s="108">
        <f t="shared" ref="D146:D154" si="70">V42</f>
        <v>0</v>
      </c>
      <c r="E146" s="223">
        <f t="shared" ref="E146:E154" si="71">X42</f>
        <v>0</v>
      </c>
      <c r="F146" s="39"/>
      <c r="J146" s="80"/>
      <c r="K146" s="80"/>
      <c r="L146" s="76"/>
      <c r="M146" s="76"/>
      <c r="N146" s="76"/>
    </row>
    <row r="147" spans="1:14" ht="18" customHeight="1" x14ac:dyDescent="0.25">
      <c r="A147" s="630"/>
      <c r="B147" s="182" t="s">
        <v>71</v>
      </c>
      <c r="C147" s="183">
        <f t="shared" si="69"/>
        <v>1.3875000000000001E-3</v>
      </c>
      <c r="D147" s="183">
        <f t="shared" si="70"/>
        <v>2.5000000000000001E-3</v>
      </c>
      <c r="E147" s="222">
        <f t="shared" si="71"/>
        <v>2.7500000000000002E-4</v>
      </c>
      <c r="F147" s="39"/>
      <c r="J147" s="70"/>
      <c r="K147" s="73"/>
      <c r="L147" s="74"/>
      <c r="M147" s="74"/>
      <c r="N147" s="74"/>
    </row>
    <row r="148" spans="1:14" ht="18" customHeight="1" x14ac:dyDescent="0.25">
      <c r="A148" s="630"/>
      <c r="B148" s="181" t="s">
        <v>72</v>
      </c>
      <c r="C148" s="108">
        <f t="shared" si="69"/>
        <v>0</v>
      </c>
      <c r="D148" s="108">
        <f t="shared" si="70"/>
        <v>0</v>
      </c>
      <c r="E148" s="223">
        <f t="shared" si="71"/>
        <v>0</v>
      </c>
      <c r="F148" s="39"/>
      <c r="J148" s="70"/>
      <c r="K148" s="73"/>
      <c r="L148" s="74"/>
      <c r="M148" s="74"/>
      <c r="N148" s="74"/>
    </row>
    <row r="149" spans="1:14" ht="18" customHeight="1" x14ac:dyDescent="0.25">
      <c r="A149" s="630"/>
      <c r="B149" s="182" t="s">
        <v>122</v>
      </c>
      <c r="C149" s="183">
        <f t="shared" si="69"/>
        <v>0</v>
      </c>
      <c r="D149" s="183">
        <f t="shared" si="70"/>
        <v>0</v>
      </c>
      <c r="E149" s="222">
        <f t="shared" si="71"/>
        <v>0</v>
      </c>
      <c r="F149" s="39"/>
      <c r="J149" s="80"/>
      <c r="K149" s="73"/>
      <c r="L149" s="74"/>
      <c r="M149" s="74"/>
      <c r="N149" s="74"/>
    </row>
    <row r="150" spans="1:14" ht="18" customHeight="1" x14ac:dyDescent="0.25">
      <c r="A150" s="224"/>
      <c r="B150" s="181" t="s">
        <v>123</v>
      </c>
      <c r="C150" s="108">
        <f t="shared" si="69"/>
        <v>0</v>
      </c>
      <c r="D150" s="108">
        <f t="shared" si="70"/>
        <v>0</v>
      </c>
      <c r="E150" s="223">
        <f t="shared" si="71"/>
        <v>0</v>
      </c>
      <c r="F150" s="39"/>
      <c r="J150" s="80"/>
      <c r="K150" s="73"/>
      <c r="L150" s="74"/>
      <c r="M150" s="74"/>
      <c r="N150" s="74"/>
    </row>
    <row r="151" spans="1:14" ht="18" customHeight="1" x14ac:dyDescent="0.25">
      <c r="A151" s="224"/>
      <c r="B151" s="182" t="s">
        <v>124</v>
      </c>
      <c r="C151" s="183">
        <f t="shared" si="69"/>
        <v>0</v>
      </c>
      <c r="D151" s="183">
        <f t="shared" si="70"/>
        <v>0</v>
      </c>
      <c r="E151" s="222">
        <f t="shared" si="71"/>
        <v>0</v>
      </c>
      <c r="F151" s="39"/>
      <c r="J151" s="80"/>
      <c r="K151" s="73"/>
      <c r="L151" s="74"/>
      <c r="M151" s="74"/>
      <c r="N151" s="74"/>
    </row>
    <row r="152" spans="1:14" ht="18" customHeight="1" x14ac:dyDescent="0.25">
      <c r="A152" s="224"/>
      <c r="B152" s="181" t="s">
        <v>125</v>
      </c>
      <c r="C152" s="108">
        <f t="shared" si="69"/>
        <v>0</v>
      </c>
      <c r="D152" s="108">
        <f t="shared" si="70"/>
        <v>0</v>
      </c>
      <c r="E152" s="223">
        <f t="shared" si="71"/>
        <v>0</v>
      </c>
      <c r="F152" s="39"/>
      <c r="J152" s="80"/>
      <c r="K152" s="73"/>
      <c r="L152" s="74"/>
      <c r="M152" s="74"/>
      <c r="N152" s="74"/>
    </row>
    <row r="153" spans="1:14" ht="18" customHeight="1" x14ac:dyDescent="0.25">
      <c r="A153" s="224"/>
      <c r="B153" s="182" t="s">
        <v>126</v>
      </c>
      <c r="C153" s="183">
        <f t="shared" si="69"/>
        <v>1.7886942878456231E-4</v>
      </c>
      <c r="D153" s="183">
        <f t="shared" si="70"/>
        <v>3.5773885756912462E-4</v>
      </c>
      <c r="E153" s="222">
        <f t="shared" si="71"/>
        <v>0</v>
      </c>
      <c r="F153" s="39"/>
      <c r="J153" s="80"/>
      <c r="K153" s="73"/>
      <c r="L153" s="74"/>
      <c r="M153" s="74"/>
      <c r="N153" s="74"/>
    </row>
    <row r="154" spans="1:14" ht="18" customHeight="1" x14ac:dyDescent="0.25">
      <c r="A154" s="224"/>
      <c r="B154" s="181" t="s">
        <v>73</v>
      </c>
      <c r="C154" s="108">
        <f t="shared" si="69"/>
        <v>0</v>
      </c>
      <c r="D154" s="108">
        <f t="shared" si="70"/>
        <v>0</v>
      </c>
      <c r="E154" s="223">
        <f t="shared" si="71"/>
        <v>0</v>
      </c>
      <c r="F154" s="39"/>
      <c r="J154" s="80"/>
      <c r="K154" s="73"/>
      <c r="L154" s="74"/>
      <c r="M154" s="74"/>
      <c r="N154" s="74"/>
    </row>
    <row r="155" spans="1:14" ht="32.25" customHeight="1" thickBot="1" x14ac:dyDescent="0.3">
      <c r="A155" s="646" t="s">
        <v>101</v>
      </c>
      <c r="B155" s="647"/>
      <c r="C155" s="180">
        <f>SUM(C144:C154)</f>
        <v>2.9205084685810036E-2</v>
      </c>
      <c r="D155" s="180">
        <f>SUM(D144:D154)</f>
        <v>4.0729249577201955E-2</v>
      </c>
      <c r="E155" s="225">
        <f>SUM(E144:E154)</f>
        <v>1.7680919794418121E-2</v>
      </c>
      <c r="F155" s="39"/>
      <c r="J155" s="80"/>
      <c r="K155" s="73"/>
      <c r="L155" s="74"/>
      <c r="M155" s="74"/>
      <c r="N155" s="74"/>
    </row>
    <row r="156" spans="1:14" ht="18" customHeight="1" thickBot="1" x14ac:dyDescent="0.3">
      <c r="A156" s="648" t="s">
        <v>25</v>
      </c>
      <c r="B156" s="649"/>
      <c r="C156" s="226">
        <f>C143+C155</f>
        <v>0.34973785173158728</v>
      </c>
      <c r="D156" s="226">
        <f>D143+D155</f>
        <v>0.37042594473630236</v>
      </c>
      <c r="E156" s="227">
        <f>E143+E155</f>
        <v>0.32904975872687225</v>
      </c>
      <c r="J156" s="80"/>
      <c r="K156" s="73"/>
      <c r="L156" s="74"/>
      <c r="M156" s="74"/>
      <c r="N156" s="74"/>
    </row>
    <row r="157" spans="1:14" x14ac:dyDescent="0.25">
      <c r="J157" s="80"/>
      <c r="K157" s="73"/>
      <c r="L157" s="74"/>
      <c r="M157" s="74"/>
      <c r="N157" s="74"/>
    </row>
    <row r="158" spans="1:14" ht="38.25" customHeight="1" x14ac:dyDescent="0.25">
      <c r="B158" t="s">
        <v>96</v>
      </c>
      <c r="C158" s="39">
        <f>1-C156</f>
        <v>0.65026214826841278</v>
      </c>
      <c r="J158" s="80"/>
      <c r="K158" s="80"/>
      <c r="L158" s="76"/>
      <c r="M158" s="76"/>
      <c r="N158" s="76"/>
    </row>
    <row r="159" spans="1:14" x14ac:dyDescent="0.25">
      <c r="C159" s="39"/>
      <c r="J159" s="77"/>
      <c r="K159" s="78"/>
      <c r="L159" s="76"/>
      <c r="M159" s="76"/>
      <c r="N159" s="76"/>
    </row>
    <row r="160" spans="1:14" x14ac:dyDescent="0.25">
      <c r="B160" t="s">
        <v>131</v>
      </c>
      <c r="C160" s="39">
        <f>C143-C142</f>
        <v>0.25524175159210183</v>
      </c>
      <c r="J160" s="79"/>
      <c r="K160" s="79"/>
      <c r="L160" s="79"/>
      <c r="M160" s="79"/>
      <c r="N160" s="79"/>
    </row>
    <row r="161" spans="1:14" x14ac:dyDescent="0.25">
      <c r="B161" t="s">
        <v>57</v>
      </c>
      <c r="C161" s="39">
        <f>C142</f>
        <v>6.5291015453675411E-2</v>
      </c>
      <c r="J161" s="79"/>
      <c r="K161" s="79"/>
      <c r="L161" s="79"/>
      <c r="M161" s="79"/>
      <c r="N161" s="79"/>
    </row>
    <row r="162" spans="1:14" x14ac:dyDescent="0.25">
      <c r="B162" t="s">
        <v>45</v>
      </c>
      <c r="C162" s="39">
        <f>C144</f>
        <v>2.6906014337539197E-2</v>
      </c>
    </row>
    <row r="163" spans="1:14" x14ac:dyDescent="0.25">
      <c r="B163" t="s">
        <v>69</v>
      </c>
      <c r="C163" s="39">
        <f>SUM(C145:C154)</f>
        <v>2.2990703482708404E-3</v>
      </c>
    </row>
    <row r="168" spans="1:14" x14ac:dyDescent="0.25">
      <c r="A168" s="184" t="str">
        <f>A5</f>
        <v>Catégories</v>
      </c>
      <c r="B168" s="148" t="str">
        <f>B5</f>
        <v>Sous-catégories</v>
      </c>
      <c r="C168" s="186" t="s">
        <v>85</v>
      </c>
      <c r="D168" s="149" t="s">
        <v>92</v>
      </c>
      <c r="E168" s="149" t="s">
        <v>91</v>
      </c>
      <c r="G168" s="256" t="s">
        <v>85</v>
      </c>
      <c r="H168" s="256" t="s">
        <v>92</v>
      </c>
      <c r="I168" s="256" t="s">
        <v>91</v>
      </c>
      <c r="J168" s="27"/>
    </row>
    <row r="169" spans="1:14" ht="15" customHeight="1" x14ac:dyDescent="0.25">
      <c r="A169" s="631" t="str">
        <f t="shared" ref="A169" si="72">A6</f>
        <v>Déchets putrescibles</v>
      </c>
      <c r="B169" s="182" t="s">
        <v>119</v>
      </c>
      <c r="C169" s="192">
        <f>T6</f>
        <v>0.14112841019865102</v>
      </c>
      <c r="D169" s="193">
        <f>V6</f>
        <v>6.4077168397130999E-2</v>
      </c>
      <c r="E169" s="193">
        <f>X6</f>
        <v>0.21817965200017103</v>
      </c>
      <c r="G169" s="257">
        <f>SUM(C169:C170)</f>
        <v>0.24065644951124421</v>
      </c>
      <c r="H169" s="257">
        <f t="shared" ref="H169:I169" si="73">SUM(D169:D170)</f>
        <v>0.16558109770862994</v>
      </c>
      <c r="I169" s="257">
        <f t="shared" si="73"/>
        <v>0.31573180131385847</v>
      </c>
      <c r="J169" s="257">
        <f>I169-H169</f>
        <v>0.15015070360522853</v>
      </c>
    </row>
    <row r="170" spans="1:14" ht="17.25" customHeight="1" x14ac:dyDescent="0.25">
      <c r="A170" s="632"/>
      <c r="B170" s="181" t="s">
        <v>27</v>
      </c>
      <c r="C170" s="187">
        <f t="shared" ref="C170:C173" si="74">T7</f>
        <v>9.9528039312593186E-2</v>
      </c>
      <c r="D170" s="63">
        <f t="shared" ref="D170:D173" si="75">V7</f>
        <v>0.10150392931149894</v>
      </c>
      <c r="E170" s="63">
        <f t="shared" ref="E170:E173" si="76">X7</f>
        <v>9.7552149313687414E-2</v>
      </c>
    </row>
    <row r="171" spans="1:14" x14ac:dyDescent="0.25">
      <c r="A171" s="632"/>
      <c r="B171" s="182" t="s">
        <v>28</v>
      </c>
      <c r="C171" s="192">
        <f t="shared" si="74"/>
        <v>6.9030587054448621E-4</v>
      </c>
      <c r="D171" s="193">
        <f t="shared" si="75"/>
        <v>0</v>
      </c>
      <c r="E171" s="193">
        <f t="shared" si="76"/>
        <v>1.3806117410889724E-3</v>
      </c>
    </row>
    <row r="172" spans="1:14" x14ac:dyDescent="0.25">
      <c r="A172" s="632"/>
      <c r="B172" s="181" t="s">
        <v>29</v>
      </c>
      <c r="C172" s="187">
        <f t="shared" si="74"/>
        <v>2.6334681928265953E-3</v>
      </c>
      <c r="D172" s="63">
        <f t="shared" si="75"/>
        <v>3.3933841112509964E-3</v>
      </c>
      <c r="E172" s="63">
        <f t="shared" si="76"/>
        <v>1.8735522744021947E-3</v>
      </c>
    </row>
    <row r="173" spans="1:14" x14ac:dyDescent="0.25">
      <c r="A173" s="633"/>
      <c r="B173" s="182" t="s">
        <v>30</v>
      </c>
      <c r="C173" s="192">
        <f t="shared" si="74"/>
        <v>3.4258586413579242E-3</v>
      </c>
      <c r="D173" s="193">
        <f t="shared" si="75"/>
        <v>2.2774817513292753E-3</v>
      </c>
      <c r="E173" s="193">
        <f t="shared" si="76"/>
        <v>4.574235531386573E-3</v>
      </c>
    </row>
    <row r="174" spans="1:14" x14ac:dyDescent="0.25">
      <c r="A174" s="634" t="str">
        <f>A19</f>
        <v>Complexes/ Composites</v>
      </c>
      <c r="B174" s="33" t="str">
        <f>B20</f>
        <v>Autres emballages composites</v>
      </c>
      <c r="C174" s="188">
        <f>T20</f>
        <v>1.0029757677349167E-2</v>
      </c>
      <c r="D174" s="65">
        <f>V20</f>
        <v>7.2588859040121348E-3</v>
      </c>
      <c r="E174" s="65">
        <f>X20</f>
        <v>1.2800629450686201E-2</v>
      </c>
    </row>
    <row r="175" spans="1:14" x14ac:dyDescent="0.25">
      <c r="A175" s="635"/>
      <c r="B175" s="182" t="s">
        <v>130</v>
      </c>
      <c r="C175" s="189">
        <f>T22</f>
        <v>2.6882680010774872E-4</v>
      </c>
      <c r="D175" s="64">
        <f>V22</f>
        <v>5.3765360021549745E-4</v>
      </c>
      <c r="E175" s="64">
        <f>X22</f>
        <v>0</v>
      </c>
    </row>
    <row r="176" spans="1:14" x14ac:dyDescent="0.25">
      <c r="A176" s="627" t="str">
        <f>A24</f>
        <v>Textiles sanitaires</v>
      </c>
      <c r="B176" s="33" t="str">
        <f>B24</f>
        <v>Textiles sanitaires fraction hygiénique</v>
      </c>
      <c r="C176" s="188">
        <f>T24</f>
        <v>3.741664360805505E-2</v>
      </c>
      <c r="D176" s="65">
        <f>V24</f>
        <v>5.5959362897482948E-2</v>
      </c>
      <c r="E176" s="65">
        <f>X24</f>
        <v>1.8873924318627146E-2</v>
      </c>
    </row>
    <row r="177" spans="1:6" x14ac:dyDescent="0.25">
      <c r="A177" s="627"/>
      <c r="B177" s="191" t="str">
        <f>B25</f>
        <v>Textiles sanitaires fraction papiers souillés</v>
      </c>
      <c r="C177" s="189">
        <f>T25</f>
        <v>3.9082080268504481E-2</v>
      </c>
      <c r="D177" s="64">
        <f>V25</f>
        <v>3.8357053726482029E-2</v>
      </c>
      <c r="E177" s="64">
        <f>X25</f>
        <v>3.9807106810526946E-2</v>
      </c>
    </row>
    <row r="178" spans="1:6" x14ac:dyDescent="0.25">
      <c r="A178" s="627" t="str">
        <f>A26</f>
        <v>Plastiques</v>
      </c>
      <c r="B178" s="33" t="s">
        <v>51</v>
      </c>
      <c r="C178" s="188">
        <f>T26</f>
        <v>8.9636632146236822E-2</v>
      </c>
      <c r="D178" s="65">
        <f>V26</f>
        <v>9.6229833567028883E-2</v>
      </c>
      <c r="E178" s="65">
        <f>X26</f>
        <v>8.3043430725444747E-2</v>
      </c>
    </row>
    <row r="179" spans="1:6" x14ac:dyDescent="0.25">
      <c r="A179" s="627"/>
      <c r="B179" s="191" t="str">
        <f>B29</f>
        <v>Autres emballages plastiques</v>
      </c>
      <c r="C179" s="189">
        <f>T29</f>
        <v>3.324931371331815E-2</v>
      </c>
      <c r="D179" s="64">
        <f>V29</f>
        <v>3.2219112205287753E-2</v>
      </c>
      <c r="E179" s="64">
        <f>X29</f>
        <v>3.427951522134854E-2</v>
      </c>
    </row>
    <row r="180" spans="1:6" x14ac:dyDescent="0.25">
      <c r="A180" s="627"/>
      <c r="B180" s="33" t="str">
        <f>B30</f>
        <v>Autres plastiques</v>
      </c>
      <c r="C180" s="188">
        <f>T30</f>
        <v>4.4438741961053678E-2</v>
      </c>
      <c r="D180" s="65">
        <f>V30</f>
        <v>4.2941864605288628E-2</v>
      </c>
      <c r="E180" s="65">
        <f>X30</f>
        <v>4.5935619316818742E-2</v>
      </c>
    </row>
    <row r="181" spans="1:6" x14ac:dyDescent="0.25">
      <c r="A181" s="185" t="str">
        <f>A31</f>
        <v>Combustibles NC</v>
      </c>
      <c r="B181" s="33" t="s">
        <v>127</v>
      </c>
      <c r="C181" s="188">
        <f>T31</f>
        <v>3.3708041541480459E-2</v>
      </c>
      <c r="D181" s="65">
        <f>V31</f>
        <v>3.9461995026920278E-2</v>
      </c>
      <c r="E181" s="65">
        <f>X31</f>
        <v>2.7954088056040632E-2</v>
      </c>
    </row>
    <row r="182" spans="1:6" x14ac:dyDescent="0.25">
      <c r="A182" s="194" t="s">
        <v>57</v>
      </c>
      <c r="B182" s="191" t="s">
        <v>128</v>
      </c>
      <c r="C182" s="189">
        <f>T33</f>
        <v>1.5573626798164784E-2</v>
      </c>
      <c r="D182" s="64">
        <f>V33</f>
        <v>1.8356226842875079E-2</v>
      </c>
      <c r="E182" s="64">
        <f>X33</f>
        <v>1.279102675345449E-2</v>
      </c>
    </row>
    <row r="183" spans="1:6" x14ac:dyDescent="0.25">
      <c r="A183" s="627" t="str">
        <f>A34</f>
        <v>Métaux</v>
      </c>
      <c r="B183" s="33" t="str">
        <f>B38</f>
        <v>Autres métaux ferreux</v>
      </c>
      <c r="C183" s="188">
        <f>T38</f>
        <v>5.8351455846889916E-3</v>
      </c>
      <c r="D183" s="65">
        <f>V38</f>
        <v>8.7083321760909639E-3</v>
      </c>
      <c r="E183" s="65">
        <f>X38</f>
        <v>2.9619589932870206E-3</v>
      </c>
    </row>
    <row r="184" spans="1:6" x14ac:dyDescent="0.25">
      <c r="A184" s="627"/>
      <c r="B184" s="191" t="str">
        <f>B39</f>
        <v xml:space="preserve">Autres métaux </v>
      </c>
      <c r="C184" s="188">
        <f>T39</f>
        <v>9.3177165351156937E-4</v>
      </c>
      <c r="D184" s="64">
        <f>V39</f>
        <v>0</v>
      </c>
      <c r="E184" s="64">
        <f>X39</f>
        <v>1.8635433070231387E-3</v>
      </c>
    </row>
    <row r="185" spans="1:6" x14ac:dyDescent="0.25">
      <c r="A185" s="185" t="s">
        <v>129</v>
      </c>
      <c r="B185" s="33" t="s">
        <v>129</v>
      </c>
      <c r="C185" s="188">
        <f>T40</f>
        <v>1.8417640572013824E-2</v>
      </c>
      <c r="D185" s="65">
        <f>V40</f>
        <v>2.5610285976641708E-2</v>
      </c>
      <c r="E185" s="65">
        <f>X40</f>
        <v>1.122499516738594E-2</v>
      </c>
    </row>
    <row r="186" spans="1:6" x14ac:dyDescent="0.25">
      <c r="A186" s="185" t="s">
        <v>74</v>
      </c>
      <c r="B186" s="191"/>
      <c r="C186" s="189">
        <f>T51</f>
        <v>7.4220536863803172E-2</v>
      </c>
      <c r="D186" s="64">
        <f>V51</f>
        <v>9.2591365038466433E-2</v>
      </c>
      <c r="E186" s="64">
        <f>X51</f>
        <v>5.5849708689139903E-2</v>
      </c>
    </row>
    <row r="187" spans="1:6" x14ac:dyDescent="0.25">
      <c r="A187" s="184"/>
      <c r="B187" s="33"/>
      <c r="C187" s="190">
        <f>SUM(C169:C186)</f>
        <v>0.65021484140426089</v>
      </c>
      <c r="D187" s="59">
        <f>SUM(D169:D186)</f>
        <v>0.62948393513800249</v>
      </c>
      <c r="E187" s="59">
        <f>SUM(E169:E186)</f>
        <v>0.67094574767051962</v>
      </c>
    </row>
    <row r="188" spans="1:6" x14ac:dyDescent="0.25">
      <c r="C188" s="39">
        <f>C187+C156</f>
        <v>0.99995269313584823</v>
      </c>
      <c r="D188" s="39">
        <f>D187+D156</f>
        <v>0.99990987987430491</v>
      </c>
      <c r="E188" s="39">
        <f>E187+E156</f>
        <v>0.99999550639739188</v>
      </c>
    </row>
    <row r="191" spans="1:6" ht="26.25" customHeight="1" x14ac:dyDescent="0.25">
      <c r="A191" s="196" t="s">
        <v>20</v>
      </c>
      <c r="B191" s="197" t="s">
        <v>21</v>
      </c>
      <c r="C191" s="198" t="s">
        <v>85</v>
      </c>
      <c r="D191" s="199" t="s">
        <v>97</v>
      </c>
      <c r="E191" s="199" t="s">
        <v>98</v>
      </c>
      <c r="F191" s="199" t="s">
        <v>99</v>
      </c>
    </row>
    <row r="192" spans="1:6" ht="15" customHeight="1" x14ac:dyDescent="0.25">
      <c r="A192" s="591" t="s">
        <v>26</v>
      </c>
      <c r="B192" s="181" t="str">
        <f>B169</f>
        <v>Déchets alimentaires (non consommables)</v>
      </c>
      <c r="C192" s="67">
        <f>C169</f>
        <v>0.14112841019865102</v>
      </c>
      <c r="D192" s="628">
        <f>SUM(C192:C197)</f>
        <v>0.30463970697870335</v>
      </c>
      <c r="E192" s="628">
        <f>SUM(C192:C205)</f>
        <v>0.49482715467003102</v>
      </c>
      <c r="F192" s="628">
        <f>SUM(C192:C207)</f>
        <v>0.57132587854659056</v>
      </c>
    </row>
    <row r="193" spans="1:13" ht="26.25" customHeight="1" x14ac:dyDescent="0.25">
      <c r="A193" s="591"/>
      <c r="B193" s="181" t="str">
        <f t="shared" ref="B193:C196" si="77">B170</f>
        <v>Produits alimentaires non consommés</v>
      </c>
      <c r="C193" s="67">
        <f t="shared" si="77"/>
        <v>9.9528039312593186E-2</v>
      </c>
      <c r="D193" s="628"/>
      <c r="E193" s="628"/>
      <c r="F193" s="628"/>
    </row>
    <row r="194" spans="1:13" ht="15" customHeight="1" x14ac:dyDescent="0.25">
      <c r="A194" s="591"/>
      <c r="B194" s="181" t="str">
        <f t="shared" si="77"/>
        <v>Autres putrescibles</v>
      </c>
      <c r="C194" s="67">
        <f t="shared" si="77"/>
        <v>6.9030587054448621E-4</v>
      </c>
      <c r="D194" s="628"/>
      <c r="E194" s="628"/>
      <c r="F194" s="628"/>
    </row>
    <row r="195" spans="1:13" ht="15" customHeight="1" x14ac:dyDescent="0.25">
      <c r="A195" s="591"/>
      <c r="B195" s="181" t="str">
        <f t="shared" si="77"/>
        <v>Déchets de jardins ligneux</v>
      </c>
      <c r="C195" s="67">
        <f t="shared" si="77"/>
        <v>2.6334681928265953E-3</v>
      </c>
      <c r="D195" s="628"/>
      <c r="E195" s="628"/>
      <c r="F195" s="628"/>
    </row>
    <row r="196" spans="1:13" ht="15" customHeight="1" x14ac:dyDescent="0.25">
      <c r="A196" s="591"/>
      <c r="B196" s="181" t="str">
        <f t="shared" si="77"/>
        <v>Déchets de jardins non ligneux</v>
      </c>
      <c r="C196" s="67">
        <f t="shared" si="77"/>
        <v>3.4258586413579242E-3</v>
      </c>
      <c r="D196" s="628"/>
      <c r="E196" s="628"/>
      <c r="F196" s="628"/>
    </row>
    <row r="197" spans="1:13" ht="15" customHeight="1" x14ac:dyDescent="0.25">
      <c r="A197" s="200" t="s">
        <v>74</v>
      </c>
      <c r="B197" s="181"/>
      <c r="C197" s="67">
        <f>D87</f>
        <v>5.7233624762730154E-2</v>
      </c>
      <c r="D197" s="628"/>
      <c r="E197" s="628"/>
      <c r="F197" s="628"/>
    </row>
    <row r="198" spans="1:13" ht="15" customHeight="1" x14ac:dyDescent="0.25">
      <c r="A198" s="591" t="s">
        <v>31</v>
      </c>
      <c r="B198" s="181" t="s">
        <v>32</v>
      </c>
      <c r="C198" s="67">
        <f>T11</f>
        <v>9.3272951197003323E-3</v>
      </c>
      <c r="D198" s="629"/>
      <c r="E198" s="628"/>
      <c r="F198" s="628"/>
    </row>
    <row r="199" spans="1:13" ht="15" customHeight="1" x14ac:dyDescent="0.25">
      <c r="A199" s="591"/>
      <c r="B199" s="181" t="s">
        <v>33</v>
      </c>
      <c r="C199" s="67">
        <f t="shared" ref="C199:C205" si="78">T12</f>
        <v>4.2259697677216504E-2</v>
      </c>
      <c r="D199" s="629"/>
      <c r="E199" s="628"/>
      <c r="F199" s="628"/>
    </row>
    <row r="200" spans="1:13" ht="15" customHeight="1" x14ac:dyDescent="0.25">
      <c r="A200" s="591"/>
      <c r="B200" s="181" t="s">
        <v>34</v>
      </c>
      <c r="C200" s="67">
        <f t="shared" si="78"/>
        <v>8.7496358425200333E-3</v>
      </c>
      <c r="D200" s="629"/>
      <c r="E200" s="628"/>
      <c r="F200" s="628"/>
    </row>
    <row r="201" spans="1:13" ht="15" customHeight="1" x14ac:dyDescent="0.25">
      <c r="A201" s="591"/>
      <c r="B201" s="181" t="s">
        <v>35</v>
      </c>
      <c r="C201" s="67">
        <f t="shared" si="78"/>
        <v>2.7282356223172939E-2</v>
      </c>
      <c r="D201" s="629"/>
      <c r="E201" s="628"/>
      <c r="F201" s="628"/>
    </row>
    <row r="202" spans="1:13" ht="15" customHeight="1" x14ac:dyDescent="0.25">
      <c r="A202" s="591"/>
      <c r="B202" s="181" t="s">
        <v>36</v>
      </c>
      <c r="C202" s="67">
        <f t="shared" si="78"/>
        <v>2.4472524219076853E-2</v>
      </c>
      <c r="D202" s="629"/>
      <c r="E202" s="628"/>
      <c r="F202" s="628"/>
    </row>
    <row r="203" spans="1:13" ht="15" customHeight="1" x14ac:dyDescent="0.25">
      <c r="A203" s="591" t="s">
        <v>37</v>
      </c>
      <c r="B203" s="181" t="s">
        <v>38</v>
      </c>
      <c r="C203" s="67">
        <f t="shared" si="78"/>
        <v>3.3319967294286712E-2</v>
      </c>
      <c r="D203" s="629"/>
      <c r="E203" s="628"/>
      <c r="F203" s="628"/>
    </row>
    <row r="204" spans="1:13" ht="15" customHeight="1" x14ac:dyDescent="0.25">
      <c r="A204" s="591"/>
      <c r="B204" s="181" t="s">
        <v>39</v>
      </c>
      <c r="C204" s="67">
        <f t="shared" si="78"/>
        <v>3.6044458277954203E-2</v>
      </c>
      <c r="D204" s="629"/>
      <c r="E204" s="628"/>
      <c r="F204" s="628"/>
    </row>
    <row r="205" spans="1:13" ht="15" customHeight="1" x14ac:dyDescent="0.25">
      <c r="A205" s="591"/>
      <c r="B205" s="181" t="s">
        <v>40</v>
      </c>
      <c r="C205" s="67">
        <f t="shared" si="78"/>
        <v>8.7315130374000897E-3</v>
      </c>
      <c r="D205" s="629"/>
      <c r="E205" s="628"/>
      <c r="F205" s="628"/>
    </row>
    <row r="206" spans="1:13" ht="15" customHeight="1" x14ac:dyDescent="0.25">
      <c r="A206" s="591" t="s">
        <v>47</v>
      </c>
      <c r="B206" s="181" t="s">
        <v>48</v>
      </c>
      <c r="C206" s="67">
        <f>T24</f>
        <v>3.741664360805505E-2</v>
      </c>
      <c r="D206" s="629"/>
      <c r="E206" s="629"/>
      <c r="F206" s="628"/>
      <c r="I206" s="66" t="s">
        <v>20</v>
      </c>
      <c r="K206" s="66" t="s">
        <v>20</v>
      </c>
      <c r="M206" s="66" t="s">
        <v>20</v>
      </c>
    </row>
    <row r="207" spans="1:13" ht="15" customHeight="1" x14ac:dyDescent="0.25">
      <c r="A207" s="591"/>
      <c r="B207" s="181" t="s">
        <v>49</v>
      </c>
      <c r="C207" s="67">
        <f>T25</f>
        <v>3.9082080268504481E-2</v>
      </c>
      <c r="D207" s="629"/>
      <c r="E207" s="629"/>
      <c r="F207" s="628"/>
    </row>
    <row r="208" spans="1:13" ht="15" customHeight="1" x14ac:dyDescent="0.25">
      <c r="A208" s="621" t="s">
        <v>25</v>
      </c>
      <c r="B208" s="621"/>
      <c r="C208" s="68">
        <f>SUM(C192:C207)</f>
        <v>0.57132587854659056</v>
      </c>
      <c r="D208" s="629"/>
      <c r="E208" s="629"/>
      <c r="F208" s="628"/>
    </row>
    <row r="215" spans="2:14" x14ac:dyDescent="0.25">
      <c r="B215" s="639"/>
      <c r="C215" s="636" t="s">
        <v>91</v>
      </c>
      <c r="D215" s="637"/>
      <c r="E215" s="637"/>
      <c r="F215" s="637"/>
      <c r="G215" s="637"/>
      <c r="H215" s="638"/>
      <c r="I215" s="637" t="s">
        <v>92</v>
      </c>
      <c r="J215" s="637"/>
      <c r="K215" s="637"/>
      <c r="L215" s="637"/>
      <c r="M215" s="637"/>
      <c r="N215" s="637"/>
    </row>
    <row r="216" spans="2:14" ht="24" x14ac:dyDescent="0.25">
      <c r="B216" s="640"/>
      <c r="C216" s="120" t="s">
        <v>78</v>
      </c>
      <c r="D216" s="121" t="s">
        <v>93</v>
      </c>
      <c r="E216" s="121" t="s">
        <v>94</v>
      </c>
      <c r="F216" s="122" t="s">
        <v>105</v>
      </c>
      <c r="G216" s="123" t="s">
        <v>113</v>
      </c>
      <c r="H216" s="130" t="s">
        <v>114</v>
      </c>
      <c r="I216" s="121" t="s">
        <v>77</v>
      </c>
      <c r="J216" s="121" t="s">
        <v>93</v>
      </c>
      <c r="K216" s="121" t="s">
        <v>94</v>
      </c>
      <c r="L216" s="122" t="s">
        <v>105</v>
      </c>
      <c r="M216" s="123" t="s">
        <v>113</v>
      </c>
      <c r="N216" s="119" t="s">
        <v>114</v>
      </c>
    </row>
    <row r="217" spans="2:14" x14ac:dyDescent="0.25">
      <c r="B217" s="51" t="s">
        <v>82</v>
      </c>
      <c r="C217" s="67">
        <f t="shared" ref="C217:E229" si="79">D91</f>
        <v>0.32356020086073617</v>
      </c>
      <c r="D217" s="67">
        <f t="shared" si="79"/>
        <v>0.17566831936520871</v>
      </c>
      <c r="E217" s="67">
        <f t="shared" si="79"/>
        <v>0.47361186175412662</v>
      </c>
      <c r="F217" s="67">
        <f t="shared" ref="F217:H229" si="80">E107</f>
        <v>0.26591410414522204</v>
      </c>
      <c r="G217" s="67">
        <f t="shared" si="80"/>
        <v>0.26591410414522204</v>
      </c>
      <c r="H217" s="128">
        <f t="shared" si="80"/>
        <v>0.82183811061384016</v>
      </c>
      <c r="I217" s="126">
        <f t="shared" ref="I217:K229" si="81">I91</f>
        <v>0.17125196357121023</v>
      </c>
      <c r="J217" s="67">
        <f t="shared" si="81"/>
        <v>9.2564522527291263E-2</v>
      </c>
      <c r="K217" s="67">
        <f t="shared" si="81"/>
        <v>0.25735387734426213</v>
      </c>
      <c r="L217" s="124">
        <f>J107</f>
        <v>0.17472950089999392</v>
      </c>
      <c r="M217" s="124">
        <f>K107</f>
        <v>0.17472950089999392</v>
      </c>
      <c r="N217" s="124">
        <f>L107</f>
        <v>1.0203065544841923</v>
      </c>
    </row>
    <row r="218" spans="2:14" x14ac:dyDescent="0.25">
      <c r="B218" s="54" t="s">
        <v>31</v>
      </c>
      <c r="C218" s="117">
        <f t="shared" si="79"/>
        <v>0.1268926356686062</v>
      </c>
      <c r="D218" s="117">
        <f t="shared" si="79"/>
        <v>6.5161125226759251E-2</v>
      </c>
      <c r="E218" s="117">
        <f t="shared" si="79"/>
        <v>0.20318869299205672</v>
      </c>
      <c r="F218" s="117">
        <f t="shared" si="80"/>
        <v>0.13404430845872994</v>
      </c>
      <c r="G218" s="117">
        <f t="shared" si="80"/>
        <v>0.13404430845872994</v>
      </c>
      <c r="H218" s="129">
        <f t="shared" si="80"/>
        <v>1.0563600302920739</v>
      </c>
      <c r="I218" s="127">
        <f t="shared" si="81"/>
        <v>9.7290382494767139E-2</v>
      </c>
      <c r="J218" s="117">
        <f t="shared" si="81"/>
        <v>7.1222384696768809E-2</v>
      </c>
      <c r="K218" s="117">
        <f t="shared" si="81"/>
        <v>0.15137880644288809</v>
      </c>
      <c r="L218" s="125">
        <f t="shared" ref="L218:L229" si="82">J108</f>
        <v>8.0456061870131892E-2</v>
      </c>
      <c r="M218" s="125">
        <f t="shared" ref="M218:M229" si="83">K108</f>
        <v>8.0456061870131892E-2</v>
      </c>
      <c r="N218" s="125">
        <f t="shared" ref="N218:N229" si="84">L108</f>
        <v>0.8269682964239482</v>
      </c>
    </row>
    <row r="219" spans="2:14" x14ac:dyDescent="0.25">
      <c r="B219" s="51" t="s">
        <v>37</v>
      </c>
      <c r="C219" s="67">
        <f t="shared" si="79"/>
        <v>8.5025786001693013E-2</v>
      </c>
      <c r="D219" s="67">
        <f t="shared" si="79"/>
        <v>5.5836558778553667E-2</v>
      </c>
      <c r="E219" s="67">
        <f t="shared" si="79"/>
        <v>0.10878955531693682</v>
      </c>
      <c r="F219" s="67">
        <f t="shared" si="80"/>
        <v>4.7652253957571979E-2</v>
      </c>
      <c r="G219" s="67">
        <f t="shared" si="80"/>
        <v>4.7652253957571986E-2</v>
      </c>
      <c r="H219" s="128">
        <f t="shared" si="80"/>
        <v>0.56044473327918598</v>
      </c>
      <c r="I219" s="126">
        <f t="shared" si="81"/>
        <v>7.1166091217589031E-2</v>
      </c>
      <c r="J219" s="67">
        <f t="shared" si="81"/>
        <v>5.6662028043373641E-2</v>
      </c>
      <c r="K219" s="67">
        <f t="shared" si="81"/>
        <v>8.5363650241408975E-2</v>
      </c>
      <c r="L219" s="124">
        <f t="shared" si="82"/>
        <v>3.0891465192617294E-2</v>
      </c>
      <c r="M219" s="124">
        <f t="shared" si="83"/>
        <v>3.089146519261729E-2</v>
      </c>
      <c r="N219" s="124">
        <f t="shared" si="84"/>
        <v>0.43407562034237901</v>
      </c>
    </row>
    <row r="220" spans="2:14" x14ac:dyDescent="0.25">
      <c r="B220" s="54" t="s">
        <v>83</v>
      </c>
      <c r="C220" s="117">
        <f t="shared" si="79"/>
        <v>1.8548878257868284E-2</v>
      </c>
      <c r="D220" s="117">
        <f t="shared" si="79"/>
        <v>4.5036581434452503E-3</v>
      </c>
      <c r="E220" s="117">
        <f t="shared" si="79"/>
        <v>3.6597821397625366E-2</v>
      </c>
      <c r="F220" s="117">
        <f t="shared" si="80"/>
        <v>2.9014082652724739E-2</v>
      </c>
      <c r="G220" s="117">
        <f t="shared" si="80"/>
        <v>2.9014082652724739E-2</v>
      </c>
      <c r="H220" s="129">
        <f t="shared" si="80"/>
        <v>1.5641960796425627</v>
      </c>
      <c r="I220" s="127">
        <f t="shared" si="81"/>
        <v>1.1266945601749841E-2</v>
      </c>
      <c r="J220" s="117">
        <f t="shared" si="81"/>
        <v>6.1449997438087507E-3</v>
      </c>
      <c r="K220" s="117">
        <f t="shared" si="81"/>
        <v>1.7534755344371614E-2</v>
      </c>
      <c r="L220" s="125">
        <f t="shared" si="82"/>
        <v>1.0239345164449151E-2</v>
      </c>
      <c r="M220" s="125">
        <f t="shared" si="83"/>
        <v>1.0239345164449149E-2</v>
      </c>
      <c r="N220" s="125">
        <f t="shared" si="84"/>
        <v>0.90879511860418516</v>
      </c>
    </row>
    <row r="221" spans="2:14" x14ac:dyDescent="0.25">
      <c r="B221" s="51" t="s">
        <v>46</v>
      </c>
      <c r="C221" s="67">
        <f t="shared" si="79"/>
        <v>1.6380436992602724E-2</v>
      </c>
      <c r="D221" s="67">
        <f t="shared" si="79"/>
        <v>3.3514434135864723E-3</v>
      </c>
      <c r="E221" s="67">
        <f t="shared" si="79"/>
        <v>2.7592197770056948E-2</v>
      </c>
      <c r="F221" s="67">
        <f t="shared" si="80"/>
        <v>2.3898093044894896E-2</v>
      </c>
      <c r="G221" s="67">
        <f t="shared" si="80"/>
        <v>2.3898093044894896E-2</v>
      </c>
      <c r="H221" s="128">
        <f t="shared" si="80"/>
        <v>1.4589411171195912</v>
      </c>
      <c r="I221" s="126">
        <f t="shared" si="81"/>
        <v>3.7431591682475673E-2</v>
      </c>
      <c r="J221" s="67">
        <f t="shared" si="81"/>
        <v>9.316441839654627E-3</v>
      </c>
      <c r="K221" s="67">
        <f t="shared" si="81"/>
        <v>5.8329386189174805E-2</v>
      </c>
      <c r="L221" s="124">
        <f t="shared" si="82"/>
        <v>4.7601109732342571E-2</v>
      </c>
      <c r="M221" s="124">
        <f t="shared" si="83"/>
        <v>4.7601109732342578E-2</v>
      </c>
      <c r="N221" s="124">
        <f t="shared" si="84"/>
        <v>1.2716827576057355</v>
      </c>
    </row>
    <row r="222" spans="2:14" x14ac:dyDescent="0.25">
      <c r="B222" s="54" t="s">
        <v>47</v>
      </c>
      <c r="C222" s="117">
        <f t="shared" si="79"/>
        <v>5.8681031129154085E-2</v>
      </c>
      <c r="D222" s="117">
        <f t="shared" si="79"/>
        <v>2.3199147509557472E-2</v>
      </c>
      <c r="E222" s="117">
        <f t="shared" si="79"/>
        <v>7.3355347049018263E-2</v>
      </c>
      <c r="F222" s="117">
        <f t="shared" si="80"/>
        <v>5.2222888814684683E-2</v>
      </c>
      <c r="G222" s="117">
        <f t="shared" si="80"/>
        <v>5.222288881468469E-2</v>
      </c>
      <c r="H222" s="129">
        <f t="shared" si="80"/>
        <v>0.88994497557046437</v>
      </c>
      <c r="I222" s="127">
        <f t="shared" si="81"/>
        <v>9.4316416623964977E-2</v>
      </c>
      <c r="J222" s="117">
        <f t="shared" si="81"/>
        <v>3.8012429271180911E-2</v>
      </c>
      <c r="K222" s="117">
        <f t="shared" si="81"/>
        <v>0.13523560258261563</v>
      </c>
      <c r="L222" s="125">
        <f t="shared" si="82"/>
        <v>9.6525471247718569E-2</v>
      </c>
      <c r="M222" s="125">
        <f t="shared" si="83"/>
        <v>9.6525471247718569E-2</v>
      </c>
      <c r="N222" s="125">
        <f t="shared" si="84"/>
        <v>1.0234217403801609</v>
      </c>
    </row>
    <row r="223" spans="2:14" x14ac:dyDescent="0.25">
      <c r="B223" s="51" t="s">
        <v>50</v>
      </c>
      <c r="C223" s="67">
        <f t="shared" si="79"/>
        <v>0.19810331432799372</v>
      </c>
      <c r="D223" s="67">
        <f t="shared" si="79"/>
        <v>0.11552624013467971</v>
      </c>
      <c r="E223" s="67">
        <f t="shared" si="79"/>
        <v>0.26706364795958315</v>
      </c>
      <c r="F223" s="67">
        <f t="shared" si="80"/>
        <v>0.15006941748066216</v>
      </c>
      <c r="G223" s="67">
        <f t="shared" si="80"/>
        <v>0.15006941748066216</v>
      </c>
      <c r="H223" s="128">
        <f t="shared" si="80"/>
        <v>0.75753107912266793</v>
      </c>
      <c r="I223" s="126">
        <f t="shared" si="81"/>
        <v>0.20800994190546646</v>
      </c>
      <c r="J223" s="67">
        <f t="shared" si="81"/>
        <v>0.13248679073301625</v>
      </c>
      <c r="K223" s="67">
        <f t="shared" si="81"/>
        <v>0.25451129592325189</v>
      </c>
      <c r="L223" s="124">
        <f t="shared" si="82"/>
        <v>0.11922173601890476</v>
      </c>
      <c r="M223" s="124">
        <f t="shared" si="83"/>
        <v>0.11922173601890478</v>
      </c>
      <c r="N223" s="124">
        <f t="shared" si="84"/>
        <v>0.57315402776799518</v>
      </c>
    </row>
    <row r="224" spans="2:14" x14ac:dyDescent="0.25">
      <c r="B224" s="54" t="s">
        <v>56</v>
      </c>
      <c r="C224" s="117">
        <f t="shared" si="79"/>
        <v>2.7954088056040632E-2</v>
      </c>
      <c r="D224" s="117">
        <f t="shared" si="79"/>
        <v>1.0872611246940308E-2</v>
      </c>
      <c r="E224" s="117">
        <f t="shared" si="79"/>
        <v>3.8632698825070026E-2</v>
      </c>
      <c r="F224" s="117">
        <f t="shared" si="80"/>
        <v>2.6323297084154224E-2</v>
      </c>
      <c r="G224" s="117">
        <f t="shared" si="80"/>
        <v>2.6323297084154221E-2</v>
      </c>
      <c r="H224" s="129">
        <f t="shared" si="80"/>
        <v>0.94166180743878669</v>
      </c>
      <c r="I224" s="127">
        <f t="shared" si="81"/>
        <v>3.9461995026920278E-2</v>
      </c>
      <c r="J224" s="117">
        <f t="shared" si="81"/>
        <v>1.4768258135210576E-2</v>
      </c>
      <c r="K224" s="117">
        <f t="shared" si="81"/>
        <v>6.4288170461475336E-2</v>
      </c>
      <c r="L224" s="125">
        <f t="shared" si="82"/>
        <v>5.2604364459017727E-2</v>
      </c>
      <c r="M224" s="125">
        <f t="shared" si="83"/>
        <v>5.2604364459017727E-2</v>
      </c>
      <c r="N224" s="125">
        <f t="shared" si="84"/>
        <v>1.3330386470104199</v>
      </c>
    </row>
    <row r="225" spans="2:14" x14ac:dyDescent="0.25">
      <c r="B225" s="51" t="s">
        <v>57</v>
      </c>
      <c r="C225" s="67">
        <f t="shared" si="79"/>
        <v>4.889116916680529E-2</v>
      </c>
      <c r="D225" s="67">
        <f t="shared" si="79"/>
        <v>2.9452861575480129E-2</v>
      </c>
      <c r="E225" s="67">
        <f t="shared" si="79"/>
        <v>8.0666740719622959E-2</v>
      </c>
      <c r="F225" s="67">
        <f t="shared" si="80"/>
        <v>4.8144441958738189E-2</v>
      </c>
      <c r="G225" s="67">
        <f t="shared" si="80"/>
        <v>4.8144441958738196E-2</v>
      </c>
      <c r="H225" s="128">
        <f t="shared" si="80"/>
        <v>0.98472674675626115</v>
      </c>
      <c r="I225" s="126">
        <f t="shared" si="81"/>
        <v>0.11283811533687507</v>
      </c>
      <c r="J225" s="67">
        <f t="shared" si="81"/>
        <v>5.3279189230923771E-2</v>
      </c>
      <c r="K225" s="67">
        <f t="shared" si="81"/>
        <v>0.19204338922397909</v>
      </c>
      <c r="L225" s="124">
        <f t="shared" si="82"/>
        <v>0.15378267894960296</v>
      </c>
      <c r="M225" s="124">
        <f t="shared" si="83"/>
        <v>0.15378267894960296</v>
      </c>
      <c r="N225" s="124">
        <f t="shared" si="84"/>
        <v>1.3628611085047728</v>
      </c>
    </row>
    <row r="226" spans="2:14" x14ac:dyDescent="0.25">
      <c r="B226" s="54" t="s">
        <v>60</v>
      </c>
      <c r="C226" s="117">
        <f t="shared" si="79"/>
        <v>2.7582779277550571E-2</v>
      </c>
      <c r="D226" s="117">
        <f t="shared" si="79"/>
        <v>1.1359813678514982E-2</v>
      </c>
      <c r="E226" s="117">
        <f t="shared" si="79"/>
        <v>3.7666081571472623E-2</v>
      </c>
      <c r="F226" s="117">
        <f t="shared" si="80"/>
        <v>2.578467278719327E-2</v>
      </c>
      <c r="G226" s="117">
        <f t="shared" si="80"/>
        <v>2.578467278719327E-2</v>
      </c>
      <c r="H226" s="129">
        <f t="shared" si="80"/>
        <v>0.93481053985662832</v>
      </c>
      <c r="I226" s="127">
        <f t="shared" si="81"/>
        <v>3.5377127503451823E-2</v>
      </c>
      <c r="J226" s="117">
        <f t="shared" si="81"/>
        <v>3.1205958700174161E-2</v>
      </c>
      <c r="K226" s="117">
        <f t="shared" si="81"/>
        <v>3.901689145316848E-2</v>
      </c>
      <c r="L226" s="125">
        <f t="shared" si="82"/>
        <v>9.1447284782008257E-3</v>
      </c>
      <c r="M226" s="125">
        <f t="shared" si="83"/>
        <v>9.144728478200824E-3</v>
      </c>
      <c r="N226" s="125">
        <f t="shared" si="84"/>
        <v>0.25849267941012322</v>
      </c>
    </row>
    <row r="227" spans="2:14" x14ac:dyDescent="0.25">
      <c r="B227" s="51" t="s">
        <v>67</v>
      </c>
      <c r="C227" s="67">
        <f t="shared" si="79"/>
        <v>1.122499516738594E-2</v>
      </c>
      <c r="D227" s="67">
        <f t="shared" si="79"/>
        <v>2.4465936192586304E-3</v>
      </c>
      <c r="E227" s="67">
        <f t="shared" si="79"/>
        <v>2.2790780852279115E-2</v>
      </c>
      <c r="F227" s="67">
        <f t="shared" si="80"/>
        <v>2.1810382757943926E-2</v>
      </c>
      <c r="G227" s="67">
        <f t="shared" si="80"/>
        <v>2.1810382757943926E-2</v>
      </c>
      <c r="H227" s="128">
        <f t="shared" si="80"/>
        <v>1.9430193450161721</v>
      </c>
      <c r="I227" s="126">
        <f t="shared" si="81"/>
        <v>2.5610285976641708E-2</v>
      </c>
      <c r="J227" s="67">
        <f t="shared" si="81"/>
        <v>4.0351985237786645E-4</v>
      </c>
      <c r="K227" s="67">
        <f t="shared" si="81"/>
        <v>5.3281520014668043E-2</v>
      </c>
      <c r="L227" s="124">
        <f t="shared" si="82"/>
        <v>4.8529686090580997E-2</v>
      </c>
      <c r="M227" s="124">
        <f t="shared" si="83"/>
        <v>4.852968609058099E-2</v>
      </c>
      <c r="N227" s="124">
        <f t="shared" si="84"/>
        <v>1.8949294878957348</v>
      </c>
    </row>
    <row r="228" spans="2:14" x14ac:dyDescent="0.25">
      <c r="B228" s="54" t="s">
        <v>69</v>
      </c>
      <c r="C228" s="117">
        <f t="shared" si="79"/>
        <v>1.3004828018153981E-3</v>
      </c>
      <c r="D228" s="117">
        <f t="shared" si="79"/>
        <v>0</v>
      </c>
      <c r="E228" s="117">
        <f t="shared" si="79"/>
        <v>3.5062744131040984E-3</v>
      </c>
      <c r="F228" s="117">
        <f t="shared" si="80"/>
        <v>3.3513822881727382E-3</v>
      </c>
      <c r="G228" s="117">
        <f t="shared" si="80"/>
        <v>3.3513822881727382E-3</v>
      </c>
      <c r="H228" s="129">
        <f t="shared" si="80"/>
        <v>2.5770293028822868</v>
      </c>
      <c r="I228" s="127">
        <f t="shared" si="81"/>
        <v>3.2976578947262821E-3</v>
      </c>
      <c r="J228" s="117">
        <f t="shared" si="81"/>
        <v>0</v>
      </c>
      <c r="K228" s="117">
        <f t="shared" si="81"/>
        <v>1.0999999999999999E-2</v>
      </c>
      <c r="L228" s="125">
        <f t="shared" si="82"/>
        <v>1.1263526933207112E-2</v>
      </c>
      <c r="M228" s="125">
        <f t="shared" si="83"/>
        <v>1.1263526933207112E-2</v>
      </c>
      <c r="N228" s="125">
        <f t="shared" si="84"/>
        <v>3.415614139726288</v>
      </c>
    </row>
    <row r="229" spans="2:14" x14ac:dyDescent="0.25">
      <c r="B229" s="57" t="s">
        <v>74</v>
      </c>
      <c r="C229" s="67">
        <f t="shared" si="79"/>
        <v>5.5849708689139903E-2</v>
      </c>
      <c r="D229" s="67">
        <f t="shared" si="79"/>
        <v>4.9543442643412504E-2</v>
      </c>
      <c r="E229" s="67">
        <f t="shared" si="79"/>
        <v>6.5080468506697534E-2</v>
      </c>
      <c r="F229" s="67">
        <f t="shared" si="80"/>
        <v>1.5326671968891871E-2</v>
      </c>
      <c r="G229" s="67">
        <f t="shared" si="80"/>
        <v>1.5326671968891873E-2</v>
      </c>
      <c r="H229" s="128">
        <f t="shared" si="80"/>
        <v>0.27442707094857555</v>
      </c>
      <c r="I229" s="126">
        <f t="shared" si="81"/>
        <v>9.2591365038466433E-2</v>
      </c>
      <c r="J229" s="67">
        <f t="shared" si="81"/>
        <v>6.3691204421557859E-2</v>
      </c>
      <c r="K229" s="67">
        <f t="shared" si="81"/>
        <v>0.11095612570054575</v>
      </c>
      <c r="L229" s="124">
        <f t="shared" si="82"/>
        <v>4.8078947562070103E-2</v>
      </c>
      <c r="M229" s="124">
        <f t="shared" si="83"/>
        <v>4.8078947562070096E-2</v>
      </c>
      <c r="N229" s="124">
        <f t="shared" si="84"/>
        <v>0.51925951779732415</v>
      </c>
    </row>
  </sheetData>
  <mergeCells count="114">
    <mergeCell ref="C215:H215"/>
    <mergeCell ref="I215:N215"/>
    <mergeCell ref="B215:B216"/>
    <mergeCell ref="M1:N1"/>
    <mergeCell ref="O1:P1"/>
    <mergeCell ref="Q1:R1"/>
    <mergeCell ref="S1:T1"/>
    <mergeCell ref="A4:B4"/>
    <mergeCell ref="C4:C5"/>
    <mergeCell ref="D4:D5"/>
    <mergeCell ref="E4:E5"/>
    <mergeCell ref="F4:F5"/>
    <mergeCell ref="G4:G5"/>
    <mergeCell ref="H4:H5"/>
    <mergeCell ref="I4:I5"/>
    <mergeCell ref="I3:J3"/>
    <mergeCell ref="K3:L3"/>
    <mergeCell ref="M3:N3"/>
    <mergeCell ref="O3:P3"/>
    <mergeCell ref="Q3:R3"/>
    <mergeCell ref="A143:B143"/>
    <mergeCell ref="A155:B155"/>
    <mergeCell ref="A156:B156"/>
    <mergeCell ref="F192:F208"/>
    <mergeCell ref="A208:B208"/>
    <mergeCell ref="A126:A130"/>
    <mergeCell ref="C105:G105"/>
    <mergeCell ref="C73:C74"/>
    <mergeCell ref="C55:D55"/>
    <mergeCell ref="E55:F55"/>
    <mergeCell ref="G55:H55"/>
    <mergeCell ref="H105:L105"/>
    <mergeCell ref="A183:A184"/>
    <mergeCell ref="D192:D197"/>
    <mergeCell ref="E192:E205"/>
    <mergeCell ref="A198:A202"/>
    <mergeCell ref="D198:D208"/>
    <mergeCell ref="A203:A205"/>
    <mergeCell ref="A206:A207"/>
    <mergeCell ref="E206:E208"/>
    <mergeCell ref="A138:A141"/>
    <mergeCell ref="A176:A177"/>
    <mergeCell ref="A178:A180"/>
    <mergeCell ref="A145:A149"/>
    <mergeCell ref="A169:A173"/>
    <mergeCell ref="A131:A133"/>
    <mergeCell ref="A134:A135"/>
    <mergeCell ref="A174:A175"/>
    <mergeCell ref="O55:P55"/>
    <mergeCell ref="Q55:R55"/>
    <mergeCell ref="S55:T55"/>
    <mergeCell ref="U55:V55"/>
    <mergeCell ref="W55:X55"/>
    <mergeCell ref="U1:V1"/>
    <mergeCell ref="W1:X1"/>
    <mergeCell ref="A1:A3"/>
    <mergeCell ref="C1:D1"/>
    <mergeCell ref="E1:F1"/>
    <mergeCell ref="G1:H1"/>
    <mergeCell ref="I1:J1"/>
    <mergeCell ref="K1:L1"/>
    <mergeCell ref="C2:D2"/>
    <mergeCell ref="E2:F2"/>
    <mergeCell ref="G2:H2"/>
    <mergeCell ref="I2:J2"/>
    <mergeCell ref="K2:L2"/>
    <mergeCell ref="M2:N2"/>
    <mergeCell ref="O2:P2"/>
    <mergeCell ref="Q2:R2"/>
    <mergeCell ref="C3:D3"/>
    <mergeCell ref="E3:F3"/>
    <mergeCell ref="A11:A15"/>
    <mergeCell ref="A16:A18"/>
    <mergeCell ref="P4:P5"/>
    <mergeCell ref="Q4:Q5"/>
    <mergeCell ref="R4:R5"/>
    <mergeCell ref="S4:S5"/>
    <mergeCell ref="T4:T5"/>
    <mergeCell ref="U4:U5"/>
    <mergeCell ref="J4:J5"/>
    <mergeCell ref="K4:K5"/>
    <mergeCell ref="L4:L5"/>
    <mergeCell ref="M4:M5"/>
    <mergeCell ref="N4:N5"/>
    <mergeCell ref="O4:O5"/>
    <mergeCell ref="S3:T3"/>
    <mergeCell ref="S2:T2"/>
    <mergeCell ref="U3:V3"/>
    <mergeCell ref="U2:V2"/>
    <mergeCell ref="G3:H3"/>
    <mergeCell ref="V4:V5"/>
    <mergeCell ref="W4:W5"/>
    <mergeCell ref="X4:X5"/>
    <mergeCell ref="A6:A10"/>
    <mergeCell ref="W3:X3"/>
    <mergeCell ref="W2:X2"/>
    <mergeCell ref="A19:A22"/>
    <mergeCell ref="A24:A25"/>
    <mergeCell ref="A26:A30"/>
    <mergeCell ref="A32:A33"/>
    <mergeCell ref="A34:A39"/>
    <mergeCell ref="A41:A50"/>
    <mergeCell ref="A51:B51"/>
    <mergeCell ref="A52:B52"/>
    <mergeCell ref="M55:N55"/>
    <mergeCell ref="A192:A196"/>
    <mergeCell ref="A136:A137"/>
    <mergeCell ref="I55:J55"/>
    <mergeCell ref="K55:L55"/>
    <mergeCell ref="D73:D74"/>
    <mergeCell ref="E73:I73"/>
    <mergeCell ref="C89:C90"/>
    <mergeCell ref="I89:M89"/>
    <mergeCell ref="D89:H89"/>
  </mergeCells>
  <conditionalFormatting sqref="A11:B18">
    <cfRule type="dataBar" priority="9">
      <dataBar>
        <cfvo type="min"/>
        <cfvo type="max"/>
        <color rgb="FF63C384"/>
      </dataBar>
    </cfRule>
  </conditionalFormatting>
  <conditionalFormatting sqref="A19:B19 A21:B21">
    <cfRule type="dataBar" priority="8">
      <dataBar>
        <cfvo type="min"/>
        <cfvo type="max"/>
        <color rgb="FF63C384"/>
      </dataBar>
    </cfRule>
  </conditionalFormatting>
  <conditionalFormatting sqref="A22:B22">
    <cfRule type="dataBar" priority="7">
      <dataBar>
        <cfvo type="min"/>
        <cfvo type="max"/>
        <color rgb="FF63C384"/>
      </dataBar>
    </cfRule>
  </conditionalFormatting>
  <conditionalFormatting sqref="A26:B27">
    <cfRule type="dataBar" priority="6">
      <dataBar>
        <cfvo type="min"/>
        <cfvo type="max"/>
        <color rgb="FF63C384"/>
      </dataBar>
    </cfRule>
  </conditionalFormatting>
  <conditionalFormatting sqref="A31:B31">
    <cfRule type="dataBar" priority="5">
      <dataBar>
        <cfvo type="min"/>
        <cfvo type="max"/>
        <color rgb="FF63C384"/>
      </dataBar>
    </cfRule>
  </conditionalFormatting>
  <conditionalFormatting sqref="A33:B36">
    <cfRule type="dataBar" priority="4">
      <dataBar>
        <cfvo type="min"/>
        <cfvo type="max"/>
        <color rgb="FF63C384"/>
      </dataBar>
    </cfRule>
  </conditionalFormatting>
  <conditionalFormatting sqref="A40:B44">
    <cfRule type="dataBar" priority="3">
      <dataBar>
        <cfvo type="min"/>
        <cfvo type="max"/>
        <color rgb="FF63C384"/>
      </dataBar>
    </cfRule>
  </conditionalFormatting>
  <conditionalFormatting sqref="B145:B148">
    <cfRule type="dataBar" priority="2">
      <dataBar>
        <cfvo type="min"/>
        <cfvo type="max"/>
        <color rgb="FF63C384"/>
      </dataBar>
    </cfRule>
  </conditionalFormatting>
  <conditionalFormatting sqref="B175">
    <cfRule type="dataBar" priority="1">
      <dataBar>
        <cfvo type="min"/>
        <cfvo type="max"/>
        <color rgb="FF63C384"/>
      </dataBar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BE2AD7997DAA645B7B4940B2C274693" ma:contentTypeVersion="17" ma:contentTypeDescription="Crée un document." ma:contentTypeScope="" ma:versionID="494e1a7897d5c7b637785165f340f945">
  <xsd:schema xmlns:xsd="http://www.w3.org/2001/XMLSchema" xmlns:xs="http://www.w3.org/2001/XMLSchema" xmlns:p="http://schemas.microsoft.com/office/2006/metadata/properties" xmlns:ns2="c00f261c-1ba7-4a71-a066-d911447276f6" xmlns:ns3="ecb310b6-640f-4523-af8c-89dd838d8bb4" targetNamespace="http://schemas.microsoft.com/office/2006/metadata/properties" ma:root="true" ma:fieldsID="6486fc2124261459eebf7f9444b42215" ns2:_="" ns3:_="">
    <xsd:import namespace="c00f261c-1ba7-4a71-a066-d911447276f6"/>
    <xsd:import namespace="ecb310b6-640f-4523-af8c-89dd838d8bb4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MediaServiceObjectDetectorVersions" minOccurs="0"/>
                <xsd:element ref="ns3:MediaServiceSearchProperties" minOccurs="0"/>
                <xsd:element ref="ns3:_Flow_SignoffStatu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0f261c-1ba7-4a71-a066-d911447276f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9a731026-a5bc-4d28-b754-af1dfa225c50}" ma:internalName="TaxCatchAll" ma:showField="CatchAllData" ma:web="c00f261c-1ba7-4a71-a066-d911447276f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b310b6-640f-4523-af8c-89dd838d8bb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Balises d’images" ma:readOnly="false" ma:fieldId="{5cf76f15-5ced-4ddc-b409-7134ff3c332f}" ma:taxonomyMulti="true" ma:sspId="283ecb6b-f441-4b40-9f9b-e14c9d740b8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Flow_SignoffStatus" ma:index="23" nillable="true" ma:displayName="État de validation" ma:internalName="_x00c9_tat_x0020_de_x0020_validation">
      <xsd:simpleType>
        <xsd:restriction base="dms:Text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cb310b6-640f-4523-af8c-89dd838d8bb4">
      <Terms xmlns="http://schemas.microsoft.com/office/infopath/2007/PartnerControls"/>
    </lcf76f155ced4ddcb4097134ff3c332f>
    <TaxCatchAll xmlns="c00f261c-1ba7-4a71-a066-d911447276f6" xsi:nil="true"/>
    <_Flow_SignoffStatus xmlns="ecb310b6-640f-4523-af8c-89dd838d8bb4" xsi:nil="true"/>
  </documentManagement>
</p:properties>
</file>

<file path=customXml/itemProps1.xml><?xml version="1.0" encoding="utf-8"?>
<ds:datastoreItem xmlns:ds="http://schemas.openxmlformats.org/officeDocument/2006/customXml" ds:itemID="{FBB2750B-756D-42D2-9C2E-4D126452D8A5}"/>
</file>

<file path=customXml/itemProps2.xml><?xml version="1.0" encoding="utf-8"?>
<ds:datastoreItem xmlns:ds="http://schemas.openxmlformats.org/officeDocument/2006/customXml" ds:itemID="{05131E1B-BE1C-427A-A5F6-EC09358D8E60}"/>
</file>

<file path=customXml/itemProps3.xml><?xml version="1.0" encoding="utf-8"?>
<ds:datastoreItem xmlns:ds="http://schemas.openxmlformats.org/officeDocument/2006/customXml" ds:itemID="{99D79811-6E82-40FA-91A5-9989DF6EEB9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24</vt:i4>
      </vt:variant>
      <vt:variant>
        <vt:lpstr>Plages nommées</vt:lpstr>
      </vt:variant>
      <vt:variant>
        <vt:i4>16</vt:i4>
      </vt:variant>
    </vt:vector>
  </HeadingPairs>
  <TitlesOfParts>
    <vt:vector size="40" baseType="lpstr">
      <vt:lpstr>ISS E15 PB BAN</vt:lpstr>
      <vt:lpstr>ISS E15 PB PAR</vt:lpstr>
      <vt:lpstr>IVR E15 PB BAN</vt:lpstr>
      <vt:lpstr>IVR E15 PB PAR</vt:lpstr>
      <vt:lpstr>ROM E15 PB BAN</vt:lpstr>
      <vt:lpstr>ROM E15 PB PAR</vt:lpstr>
      <vt:lpstr>STO E15 PB BAN</vt:lpstr>
      <vt:lpstr>STO E15 PB PAR </vt:lpstr>
      <vt:lpstr>Synthèse PB</vt:lpstr>
      <vt:lpstr>ISS E15 PC BAN</vt:lpstr>
      <vt:lpstr>ISS E15 PC PAR</vt:lpstr>
      <vt:lpstr>IVR E15 PC BAN</vt:lpstr>
      <vt:lpstr>IVR E15 PC PAR</vt:lpstr>
      <vt:lpstr>ROM E15 PC BAN </vt:lpstr>
      <vt:lpstr>ROM E15 PC PAR</vt:lpstr>
      <vt:lpstr>STO E15 PC BAN</vt:lpstr>
      <vt:lpstr>STO E15 PC PAR</vt:lpstr>
      <vt:lpstr>Synthèse PC</vt:lpstr>
      <vt:lpstr>E15</vt:lpstr>
      <vt:lpstr>SYCTOM Déchets ini. recons.</vt:lpstr>
      <vt:lpstr> SYCTOM Déchets Orga</vt:lpstr>
      <vt:lpstr> SYCTOM Catégories</vt:lpstr>
      <vt:lpstr> SYCTOM CSR (2)</vt:lpstr>
      <vt:lpstr>PCI PB et PC</vt:lpstr>
      <vt:lpstr>' SYCTOM Catégories'!Impression_des_titres</vt:lpstr>
      <vt:lpstr>' SYCTOM Déchets Orga'!Impression_des_titres</vt:lpstr>
      <vt:lpstr>'SYCTOM Déchets ini. recons.'!Impression_des_titres</vt:lpstr>
      <vt:lpstr>' SYCTOM Catégories'!Zone_d_impression</vt:lpstr>
      <vt:lpstr>' SYCTOM CSR (2)'!Zone_d_impression</vt:lpstr>
      <vt:lpstr>' SYCTOM Déchets Orga'!Zone_d_impression</vt:lpstr>
      <vt:lpstr>'ISS E15 PB BAN'!Zone_d_impression</vt:lpstr>
      <vt:lpstr>'ISS E15 PB PAR'!Zone_d_impression</vt:lpstr>
      <vt:lpstr>'IVR E15 PB BAN'!Zone_d_impression</vt:lpstr>
      <vt:lpstr>'IVR E15 PB PAR'!Zone_d_impression</vt:lpstr>
      <vt:lpstr>'ROM E15 PB BAN'!Zone_d_impression</vt:lpstr>
      <vt:lpstr>'ROM E15 PB PAR'!Zone_d_impression</vt:lpstr>
      <vt:lpstr>'STO E15 PB BAN'!Zone_d_impression</vt:lpstr>
      <vt:lpstr>'STO E15 PB PAR '!Zone_d_impression</vt:lpstr>
      <vt:lpstr>'SYCTOM Déchets ini. recons.'!Zone_d_impression</vt:lpstr>
      <vt:lpstr>'Synthèse PB'!Zone_d_impression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Julien</dc:creator>
  <cp:lastModifiedBy>BOUX Catherine</cp:lastModifiedBy>
  <cp:lastPrinted>2014-10-08T09:13:47Z</cp:lastPrinted>
  <dcterms:created xsi:type="dcterms:W3CDTF">2012-09-10T09:35:36Z</dcterms:created>
  <dcterms:modified xsi:type="dcterms:W3CDTF">2017-11-03T10:53:45Z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0x0101000BE2AD7997DAA645B7B4940B2C274693</vt:lpwstr>
  </property>
</Properties>
</file>