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worksheets/sheet19.xml" ContentType="application/vnd.openxmlformats-officedocument.spreadsheetml.worksheet+xml"/>
  <Override PartName="/xl/worksheets/sheet16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-Exploitation\01-Caractérisations\OM\Campagne SYCTOM 2011-2015 VERDICITE\22. données transmises projet romainville\Caractérisations sources par BV\"/>
    </mc:Choice>
  </mc:AlternateContent>
  <bookViews>
    <workbookView xWindow="0" yWindow="0" windowWidth="28800" windowHeight="12300" tabRatio="924" firstSheet="6" activeTab="18"/>
  </bookViews>
  <sheets>
    <sheet name="ISS A15 PB BAN" sheetId="1" r:id="rId1"/>
    <sheet name="ISS A15 PB PAR" sheetId="2" r:id="rId2"/>
    <sheet name="IVR A15 PB BAN" sheetId="3" r:id="rId3"/>
    <sheet name="IVR A15 PB PAR" sheetId="4" r:id="rId4"/>
    <sheet name="ROM A15 PB BAN" sheetId="5" r:id="rId5"/>
    <sheet name="ROM A15 PB PAR" sheetId="6" r:id="rId6"/>
    <sheet name="STO A15 PB BAN" sheetId="7" r:id="rId7"/>
    <sheet name="STO A15 PB PAR " sheetId="8" r:id="rId8"/>
    <sheet name="Synthèse PB" sheetId="9" r:id="rId9"/>
    <sheet name="ISS A15 PC BAN" sheetId="17" r:id="rId10"/>
    <sheet name="ISS A15 PC PAR" sheetId="16" r:id="rId11"/>
    <sheet name="IVR A15 PC BAN" sheetId="21" r:id="rId12"/>
    <sheet name="IVR A15 PC PAR" sheetId="20" r:id="rId13"/>
    <sheet name="ROM A15 PC BAN " sheetId="19" r:id="rId14"/>
    <sheet name="ROM A15 PC PAR" sheetId="23" r:id="rId15"/>
    <sheet name="STO A15 PC BAN" sheetId="22" r:id="rId16"/>
    <sheet name="STO A15 PC PAR" sheetId="18" r:id="rId17"/>
    <sheet name="Synthèse PC" sheetId="15" r:id="rId18"/>
    <sheet name="E15" sheetId="24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0">'ISS A15 PB BAN'!$A$1:$J$59</definedName>
    <definedName name="_xlnm.Print_Area" localSheetId="1">'ISS A15 PB PAR'!$A$1:$J$59</definedName>
    <definedName name="_xlnm.Print_Area" localSheetId="2">'IVR A15 PB BAN'!$A$1:$J$59</definedName>
    <definedName name="_xlnm.Print_Area" localSheetId="3">'IVR A15 PB PAR'!$A$1:$J$59</definedName>
    <definedName name="_xlnm.Print_Area" localSheetId="4">'ROM A15 PB BAN'!$A$1:$J$59</definedName>
    <definedName name="_xlnm.Print_Area" localSheetId="5">'ROM A15 PB PAR'!$A$1:$J$59</definedName>
    <definedName name="_xlnm.Print_Area" localSheetId="6">'STO A15 PB BAN'!$A$1:$J$59</definedName>
    <definedName name="_xlnm.Print_Area" localSheetId="7">'STO A15 PB PAR '!$A$1:$J$59</definedName>
    <definedName name="_xlnm.Print_Area" localSheetId="8">'Synthèse PB'!$B$89:$M$103</definedName>
  </definedNames>
  <calcPr calcId="162913" iterateDelta="1E-4"/>
</workbook>
</file>

<file path=xl/calcChain.xml><?xml version="1.0" encoding="utf-8"?>
<calcChain xmlns="http://schemas.openxmlformats.org/spreadsheetml/2006/main">
  <c r="E20" i="18" l="1"/>
  <c r="D20" i="18"/>
  <c r="C20" i="18"/>
  <c r="B20" i="18"/>
  <c r="B21" i="18" s="1"/>
  <c r="E19" i="18"/>
  <c r="D19" i="18"/>
  <c r="C19" i="18"/>
  <c r="E18" i="18"/>
  <c r="E21" i="18" s="1"/>
  <c r="D18" i="18"/>
  <c r="C18" i="18"/>
  <c r="F18" i="18" s="1"/>
  <c r="G12" i="18"/>
  <c r="G10" i="18"/>
  <c r="B10" i="18"/>
  <c r="G9" i="18"/>
  <c r="G11" i="18" s="1"/>
  <c r="B9" i="18"/>
  <c r="C5" i="18"/>
  <c r="C4" i="18"/>
  <c r="B3" i="18"/>
  <c r="B2" i="18"/>
  <c r="E20" i="22"/>
  <c r="D20" i="22"/>
  <c r="C20" i="22"/>
  <c r="B20" i="22"/>
  <c r="F20" i="22" s="1"/>
  <c r="E19" i="22"/>
  <c r="D19" i="22"/>
  <c r="C19" i="22"/>
  <c r="F19" i="22" s="1"/>
  <c r="E18" i="22"/>
  <c r="D18" i="22"/>
  <c r="D21" i="22" s="1"/>
  <c r="C18" i="22"/>
  <c r="G12" i="22"/>
  <c r="G10" i="22"/>
  <c r="B10" i="22"/>
  <c r="G9" i="22"/>
  <c r="G11" i="22" s="1"/>
  <c r="B9" i="22"/>
  <c r="C5" i="22"/>
  <c r="C4" i="22"/>
  <c r="B3" i="22"/>
  <c r="B2" i="22"/>
  <c r="E20" i="23"/>
  <c r="D20" i="23"/>
  <c r="C20" i="23"/>
  <c r="B20" i="23"/>
  <c r="B21" i="23" s="1"/>
  <c r="E19" i="23"/>
  <c r="D19" i="23"/>
  <c r="C19" i="23"/>
  <c r="E18" i="23"/>
  <c r="E21" i="23" s="1"/>
  <c r="D18" i="23"/>
  <c r="C18" i="23"/>
  <c r="F18" i="23" s="1"/>
  <c r="G12" i="23"/>
  <c r="G10" i="23"/>
  <c r="B10" i="23"/>
  <c r="G9" i="23"/>
  <c r="G11" i="23" s="1"/>
  <c r="B9" i="23"/>
  <c r="C5" i="23"/>
  <c r="C4" i="23"/>
  <c r="B3" i="23"/>
  <c r="B2" i="23"/>
  <c r="E20" i="19"/>
  <c r="D20" i="19"/>
  <c r="C20" i="19"/>
  <c r="B20" i="19"/>
  <c r="F20" i="19" s="1"/>
  <c r="E19" i="19"/>
  <c r="D19" i="19"/>
  <c r="C19" i="19"/>
  <c r="E18" i="19"/>
  <c r="E21" i="19" s="1"/>
  <c r="D18" i="19"/>
  <c r="C18" i="19"/>
  <c r="F18" i="19" s="1"/>
  <c r="G12" i="19"/>
  <c r="G10" i="19"/>
  <c r="B10" i="19"/>
  <c r="G9" i="19"/>
  <c r="G11" i="19" s="1"/>
  <c r="B9" i="19"/>
  <c r="C5" i="19"/>
  <c r="C4" i="19"/>
  <c r="B3" i="19"/>
  <c r="B2" i="19"/>
  <c r="E20" i="20"/>
  <c r="D20" i="20"/>
  <c r="C20" i="20"/>
  <c r="B20" i="20"/>
  <c r="F20" i="20" s="1"/>
  <c r="E19" i="20"/>
  <c r="D19" i="20"/>
  <c r="C19" i="20"/>
  <c r="E18" i="20"/>
  <c r="E21" i="20" s="1"/>
  <c r="D18" i="20"/>
  <c r="C18" i="20"/>
  <c r="F18" i="20" s="1"/>
  <c r="G12" i="20"/>
  <c r="G10" i="20"/>
  <c r="B10" i="20"/>
  <c r="G9" i="20"/>
  <c r="G11" i="20" s="1"/>
  <c r="B9" i="20"/>
  <c r="C5" i="20"/>
  <c r="C4" i="20"/>
  <c r="B3" i="20"/>
  <c r="B2" i="20"/>
  <c r="E20" i="21"/>
  <c r="D20" i="21"/>
  <c r="C20" i="21"/>
  <c r="B20" i="21"/>
  <c r="F20" i="21" s="1"/>
  <c r="E19" i="21"/>
  <c r="D19" i="21"/>
  <c r="C19" i="21"/>
  <c r="E18" i="21"/>
  <c r="E21" i="21" s="1"/>
  <c r="D18" i="21"/>
  <c r="C18" i="21"/>
  <c r="F18" i="21" s="1"/>
  <c r="G12" i="21"/>
  <c r="G10" i="21"/>
  <c r="B10" i="21"/>
  <c r="G9" i="21"/>
  <c r="G11" i="21" s="1"/>
  <c r="B9" i="21"/>
  <c r="C5" i="21"/>
  <c r="C4" i="21"/>
  <c r="B3" i="21"/>
  <c r="B2" i="21"/>
  <c r="E20" i="16"/>
  <c r="D20" i="16"/>
  <c r="C20" i="16"/>
  <c r="B20" i="16"/>
  <c r="B21" i="16" s="1"/>
  <c r="E19" i="16"/>
  <c r="D19" i="16"/>
  <c r="C19" i="16"/>
  <c r="F19" i="16" s="1"/>
  <c r="E18" i="16"/>
  <c r="D18" i="16"/>
  <c r="D21" i="16" s="1"/>
  <c r="C18" i="16"/>
  <c r="C21" i="16" s="1"/>
  <c r="G12" i="16"/>
  <c r="G10" i="16"/>
  <c r="B10" i="16"/>
  <c r="G9" i="16"/>
  <c r="G11" i="16" s="1"/>
  <c r="B9" i="16"/>
  <c r="C5" i="16"/>
  <c r="C4" i="16"/>
  <c r="B3" i="16"/>
  <c r="B2" i="16"/>
  <c r="E20" i="17"/>
  <c r="D20" i="17"/>
  <c r="C20" i="17"/>
  <c r="B20" i="17"/>
  <c r="B21" i="17" s="1"/>
  <c r="E19" i="17"/>
  <c r="D19" i="17"/>
  <c r="C19" i="17"/>
  <c r="F19" i="17" s="1"/>
  <c r="E18" i="17"/>
  <c r="D18" i="17"/>
  <c r="F18" i="17" s="1"/>
  <c r="C18" i="17"/>
  <c r="G12" i="17"/>
  <c r="G10" i="17"/>
  <c r="B10" i="17"/>
  <c r="G9" i="17"/>
  <c r="G11" i="17" s="1"/>
  <c r="B9" i="17"/>
  <c r="C5" i="17"/>
  <c r="C4" i="17"/>
  <c r="B3" i="17"/>
  <c r="B2" i="17"/>
  <c r="H23" i="7"/>
  <c r="J63" i="8"/>
  <c r="H63" i="8" s="1"/>
  <c r="E63" i="8"/>
  <c r="D63" i="8"/>
  <c r="C63" i="8"/>
  <c r="B63" i="8"/>
  <c r="B64" i="8" s="1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J53" i="8"/>
  <c r="E53" i="8"/>
  <c r="D53" i="8"/>
  <c r="C53" i="8"/>
  <c r="J52" i="8"/>
  <c r="H52" i="8" s="1"/>
  <c r="E52" i="8"/>
  <c r="D52" i="8"/>
  <c r="C52" i="8"/>
  <c r="E51" i="8"/>
  <c r="D51" i="8"/>
  <c r="C51" i="8"/>
  <c r="E50" i="8"/>
  <c r="D50" i="8"/>
  <c r="C50" i="8"/>
  <c r="F50" i="8" s="1"/>
  <c r="E49" i="8"/>
  <c r="D49" i="8"/>
  <c r="C49" i="8"/>
  <c r="E48" i="8"/>
  <c r="D48" i="8"/>
  <c r="C48" i="8"/>
  <c r="E47" i="8"/>
  <c r="D47" i="8"/>
  <c r="C47" i="8"/>
  <c r="J46" i="8"/>
  <c r="E46" i="8"/>
  <c r="D46" i="8"/>
  <c r="C46" i="8"/>
  <c r="E45" i="8"/>
  <c r="D45" i="8"/>
  <c r="C45" i="8"/>
  <c r="F45" i="8" s="1"/>
  <c r="J44" i="8"/>
  <c r="E44" i="8"/>
  <c r="D44" i="8"/>
  <c r="C44" i="8"/>
  <c r="F44" i="8" s="1"/>
  <c r="J43" i="8"/>
  <c r="H43" i="8" s="1"/>
  <c r="E43" i="8"/>
  <c r="D43" i="8"/>
  <c r="C43" i="8"/>
  <c r="F43" i="8" s="1"/>
  <c r="H42" i="8"/>
  <c r="E42" i="8"/>
  <c r="D42" i="8"/>
  <c r="C42" i="8"/>
  <c r="H41" i="8"/>
  <c r="E41" i="8"/>
  <c r="D41" i="8"/>
  <c r="C41" i="8"/>
  <c r="F41" i="8" s="1"/>
  <c r="H40" i="8"/>
  <c r="E40" i="8"/>
  <c r="D40" i="8"/>
  <c r="C40" i="8"/>
  <c r="H39" i="8"/>
  <c r="E39" i="8"/>
  <c r="D39" i="8"/>
  <c r="C39" i="8"/>
  <c r="F39" i="8" s="1"/>
  <c r="J38" i="8"/>
  <c r="H38" i="8"/>
  <c r="E38" i="8"/>
  <c r="D38" i="8"/>
  <c r="C38" i="8"/>
  <c r="H37" i="8"/>
  <c r="E37" i="8"/>
  <c r="D37" i="8"/>
  <c r="C37" i="8"/>
  <c r="J36" i="8"/>
  <c r="H36" i="8"/>
  <c r="E36" i="8"/>
  <c r="D36" i="8"/>
  <c r="C36" i="8"/>
  <c r="J35" i="8"/>
  <c r="H35" i="8"/>
  <c r="E35" i="8"/>
  <c r="D35" i="8"/>
  <c r="C35" i="8"/>
  <c r="E34" i="8"/>
  <c r="D34" i="8"/>
  <c r="C34" i="8"/>
  <c r="E33" i="8"/>
  <c r="D33" i="8"/>
  <c r="C33" i="8"/>
  <c r="E32" i="8"/>
  <c r="D32" i="8"/>
  <c r="C32" i="8"/>
  <c r="F32" i="8" s="1"/>
  <c r="J31" i="8"/>
  <c r="E31" i="8"/>
  <c r="D31" i="8"/>
  <c r="C31" i="8"/>
  <c r="F31" i="8" s="1"/>
  <c r="H30" i="8"/>
  <c r="E30" i="8"/>
  <c r="D30" i="8"/>
  <c r="C30" i="8"/>
  <c r="F30" i="8" s="1"/>
  <c r="H29" i="8"/>
  <c r="E29" i="8"/>
  <c r="D29" i="8"/>
  <c r="C29" i="8"/>
  <c r="F29" i="8" s="1"/>
  <c r="J28" i="8"/>
  <c r="H28" i="8"/>
  <c r="E28" i="8"/>
  <c r="D28" i="8"/>
  <c r="C28" i="8"/>
  <c r="H27" i="8"/>
  <c r="E27" i="8"/>
  <c r="D27" i="8"/>
  <c r="C27" i="8"/>
  <c r="H26" i="8"/>
  <c r="E26" i="8"/>
  <c r="D26" i="8"/>
  <c r="C26" i="8"/>
  <c r="H25" i="8"/>
  <c r="E25" i="8"/>
  <c r="D25" i="8"/>
  <c r="C25" i="8"/>
  <c r="H24" i="8"/>
  <c r="E24" i="8"/>
  <c r="D24" i="8"/>
  <c r="C24" i="8"/>
  <c r="J23" i="8"/>
  <c r="H23" i="8"/>
  <c r="E23" i="8"/>
  <c r="D23" i="8"/>
  <c r="C23" i="8"/>
  <c r="E22" i="8"/>
  <c r="D22" i="8"/>
  <c r="C22" i="8"/>
  <c r="E21" i="8"/>
  <c r="D21" i="8"/>
  <c r="C21" i="8"/>
  <c r="F21" i="8" s="1"/>
  <c r="E20" i="8"/>
  <c r="D20" i="8"/>
  <c r="C20" i="8"/>
  <c r="E19" i="8"/>
  <c r="D19" i="8"/>
  <c r="C19" i="8"/>
  <c r="J18" i="8"/>
  <c r="E18" i="8"/>
  <c r="E64" i="8" s="1"/>
  <c r="D18" i="8"/>
  <c r="C18" i="8"/>
  <c r="G12" i="8"/>
  <c r="G10" i="8"/>
  <c r="B10" i="8"/>
  <c r="G9" i="8"/>
  <c r="B9" i="8"/>
  <c r="C5" i="8"/>
  <c r="C4" i="8"/>
  <c r="B3" i="8"/>
  <c r="B2" i="8"/>
  <c r="J63" i="7"/>
  <c r="H63" i="7" s="1"/>
  <c r="E63" i="7"/>
  <c r="D63" i="7"/>
  <c r="C63" i="7"/>
  <c r="B63" i="7"/>
  <c r="E62" i="7"/>
  <c r="D62" i="7"/>
  <c r="C62" i="7"/>
  <c r="E61" i="7"/>
  <c r="D61" i="7"/>
  <c r="C61" i="7"/>
  <c r="E60" i="7"/>
  <c r="D60" i="7"/>
  <c r="C60" i="7"/>
  <c r="E59" i="7"/>
  <c r="D59" i="7"/>
  <c r="C59" i="7"/>
  <c r="E58" i="7"/>
  <c r="D58" i="7"/>
  <c r="C58" i="7"/>
  <c r="E57" i="7"/>
  <c r="D57" i="7"/>
  <c r="C57" i="7"/>
  <c r="E56" i="7"/>
  <c r="D56" i="7"/>
  <c r="C56" i="7"/>
  <c r="E55" i="7"/>
  <c r="D55" i="7"/>
  <c r="C55" i="7"/>
  <c r="E54" i="7"/>
  <c r="D54" i="7"/>
  <c r="C54" i="7"/>
  <c r="J53" i="7"/>
  <c r="E53" i="7"/>
  <c r="D53" i="7"/>
  <c r="C53" i="7"/>
  <c r="E52" i="7"/>
  <c r="D52" i="7"/>
  <c r="C52" i="7"/>
  <c r="F52" i="7" s="1"/>
  <c r="E51" i="7"/>
  <c r="D51" i="7"/>
  <c r="C51" i="7"/>
  <c r="E50" i="7"/>
  <c r="D50" i="7"/>
  <c r="F50" i="7" s="1"/>
  <c r="C50" i="7"/>
  <c r="E49" i="7"/>
  <c r="D49" i="7"/>
  <c r="C49" i="7"/>
  <c r="E48" i="7"/>
  <c r="D48" i="7"/>
  <c r="C48" i="7"/>
  <c r="E47" i="7"/>
  <c r="D47" i="7"/>
  <c r="C47" i="7"/>
  <c r="J46" i="7"/>
  <c r="E46" i="7"/>
  <c r="D46" i="7"/>
  <c r="C46" i="7"/>
  <c r="E45" i="7"/>
  <c r="D45" i="7"/>
  <c r="C45" i="7"/>
  <c r="J44" i="7"/>
  <c r="E44" i="7"/>
  <c r="D44" i="7"/>
  <c r="C44" i="7"/>
  <c r="E43" i="7"/>
  <c r="D43" i="7"/>
  <c r="C43" i="7"/>
  <c r="F43" i="7" s="1"/>
  <c r="E42" i="7"/>
  <c r="D42" i="7"/>
  <c r="C42" i="7"/>
  <c r="E41" i="7"/>
  <c r="D41" i="7"/>
  <c r="C41" i="7"/>
  <c r="F41" i="7" s="1"/>
  <c r="E40" i="7"/>
  <c r="D40" i="7"/>
  <c r="C40" i="7"/>
  <c r="E39" i="7"/>
  <c r="D39" i="7"/>
  <c r="C39" i="7"/>
  <c r="J38" i="7"/>
  <c r="E38" i="7"/>
  <c r="D38" i="7"/>
  <c r="C38" i="7"/>
  <c r="F38" i="7" s="1"/>
  <c r="E37" i="7"/>
  <c r="D37" i="7"/>
  <c r="C37" i="7"/>
  <c r="E36" i="7"/>
  <c r="D36" i="7"/>
  <c r="C36" i="7"/>
  <c r="J35" i="7"/>
  <c r="E35" i="7"/>
  <c r="D35" i="7"/>
  <c r="C35" i="7"/>
  <c r="E34" i="7"/>
  <c r="D34" i="7"/>
  <c r="C34" i="7"/>
  <c r="E33" i="7"/>
  <c r="D33" i="7"/>
  <c r="C33" i="7"/>
  <c r="F33" i="7" s="1"/>
  <c r="E32" i="7"/>
  <c r="D32" i="7"/>
  <c r="C32" i="7"/>
  <c r="J31" i="7"/>
  <c r="E31" i="7"/>
  <c r="D31" i="7"/>
  <c r="C31" i="7"/>
  <c r="E30" i="7"/>
  <c r="D30" i="7"/>
  <c r="C30" i="7"/>
  <c r="F30" i="7" s="1"/>
  <c r="E29" i="7"/>
  <c r="D29" i="7"/>
  <c r="C29" i="7"/>
  <c r="E28" i="7"/>
  <c r="D28" i="7"/>
  <c r="C28" i="7"/>
  <c r="F28" i="7" s="1"/>
  <c r="E27" i="7"/>
  <c r="D27" i="7"/>
  <c r="C27" i="7"/>
  <c r="E26" i="7"/>
  <c r="D26" i="7"/>
  <c r="C26" i="7"/>
  <c r="H25" i="7"/>
  <c r="E25" i="7"/>
  <c r="D25" i="7"/>
  <c r="C25" i="7"/>
  <c r="H24" i="7"/>
  <c r="E24" i="7"/>
  <c r="D24" i="7"/>
  <c r="C24" i="7"/>
  <c r="J23" i="7"/>
  <c r="E23" i="7"/>
  <c r="D23" i="7"/>
  <c r="C23" i="7"/>
  <c r="E22" i="7"/>
  <c r="D22" i="7"/>
  <c r="C22" i="7"/>
  <c r="E21" i="7"/>
  <c r="D21" i="7"/>
  <c r="C21" i="7"/>
  <c r="F21" i="7" s="1"/>
  <c r="E20" i="7"/>
  <c r="D20" i="7"/>
  <c r="C20" i="7"/>
  <c r="E19" i="7"/>
  <c r="D19" i="7"/>
  <c r="C19" i="7"/>
  <c r="J18" i="7"/>
  <c r="E18" i="7"/>
  <c r="D18" i="7"/>
  <c r="C18" i="7"/>
  <c r="G12" i="7"/>
  <c r="G10" i="7"/>
  <c r="B10" i="7"/>
  <c r="G9" i="7"/>
  <c r="B9" i="7"/>
  <c r="C5" i="7"/>
  <c r="C4" i="7"/>
  <c r="B3" i="7"/>
  <c r="B2" i="7"/>
  <c r="J63" i="6"/>
  <c r="H63" i="6" s="1"/>
  <c r="E63" i="6"/>
  <c r="D63" i="6"/>
  <c r="C63" i="6"/>
  <c r="B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J53" i="6"/>
  <c r="E53" i="6"/>
  <c r="D53" i="6"/>
  <c r="C53" i="6"/>
  <c r="J52" i="6"/>
  <c r="H52" i="6" s="1"/>
  <c r="E52" i="6"/>
  <c r="D52" i="6"/>
  <c r="C52" i="6"/>
  <c r="E51" i="6"/>
  <c r="D51" i="6"/>
  <c r="C51" i="6"/>
  <c r="E50" i="6"/>
  <c r="D50" i="6"/>
  <c r="C50" i="6"/>
  <c r="E49" i="6"/>
  <c r="D49" i="6"/>
  <c r="C49" i="6"/>
  <c r="E48" i="6"/>
  <c r="D48" i="6"/>
  <c r="C48" i="6"/>
  <c r="E47" i="6"/>
  <c r="D47" i="6"/>
  <c r="C47" i="6"/>
  <c r="J46" i="6"/>
  <c r="E46" i="6"/>
  <c r="D46" i="6"/>
  <c r="C46" i="6"/>
  <c r="E45" i="6"/>
  <c r="D45" i="6"/>
  <c r="C45" i="6"/>
  <c r="J44" i="6"/>
  <c r="E44" i="6"/>
  <c r="D44" i="6"/>
  <c r="C44" i="6"/>
  <c r="J43" i="6"/>
  <c r="H43" i="6" s="1"/>
  <c r="E43" i="6"/>
  <c r="D43" i="6"/>
  <c r="C43" i="6"/>
  <c r="H42" i="6"/>
  <c r="E42" i="6"/>
  <c r="D42" i="6"/>
  <c r="C42" i="6"/>
  <c r="H41" i="6"/>
  <c r="E41" i="6"/>
  <c r="D41" i="6"/>
  <c r="C41" i="6"/>
  <c r="H40" i="6"/>
  <c r="E40" i="6"/>
  <c r="D40" i="6"/>
  <c r="C40" i="6"/>
  <c r="H39" i="6"/>
  <c r="E39" i="6"/>
  <c r="D39" i="6"/>
  <c r="C39" i="6"/>
  <c r="J38" i="6"/>
  <c r="H38" i="6"/>
  <c r="E38" i="6"/>
  <c r="D38" i="6"/>
  <c r="C38" i="6"/>
  <c r="H37" i="6"/>
  <c r="E37" i="6"/>
  <c r="D37" i="6"/>
  <c r="C37" i="6"/>
  <c r="J36" i="6"/>
  <c r="H36" i="6"/>
  <c r="E36" i="6"/>
  <c r="D36" i="6"/>
  <c r="C36" i="6"/>
  <c r="J35" i="6"/>
  <c r="H35" i="6"/>
  <c r="E35" i="6"/>
  <c r="D35" i="6"/>
  <c r="C35" i="6"/>
  <c r="E34" i="6"/>
  <c r="D34" i="6"/>
  <c r="C34" i="6"/>
  <c r="E33" i="6"/>
  <c r="D33" i="6"/>
  <c r="C33" i="6"/>
  <c r="E32" i="6"/>
  <c r="D32" i="6"/>
  <c r="C32" i="6"/>
  <c r="J31" i="6"/>
  <c r="E31" i="6"/>
  <c r="D31" i="6"/>
  <c r="C31" i="6"/>
  <c r="H30" i="6"/>
  <c r="E30" i="6"/>
  <c r="D30" i="6"/>
  <c r="C30" i="6"/>
  <c r="H29" i="6"/>
  <c r="E29" i="6"/>
  <c r="D29" i="6"/>
  <c r="C29" i="6"/>
  <c r="J28" i="6"/>
  <c r="H28" i="6"/>
  <c r="E28" i="6"/>
  <c r="D28" i="6"/>
  <c r="C28" i="6"/>
  <c r="H27" i="6"/>
  <c r="E27" i="6"/>
  <c r="D27" i="6"/>
  <c r="C27" i="6"/>
  <c r="H26" i="6"/>
  <c r="E26" i="6"/>
  <c r="D26" i="6"/>
  <c r="C26" i="6"/>
  <c r="F26" i="6" s="1"/>
  <c r="H25" i="6"/>
  <c r="E25" i="6"/>
  <c r="D25" i="6"/>
  <c r="C25" i="6"/>
  <c r="F25" i="6" s="1"/>
  <c r="H24" i="6"/>
  <c r="E24" i="6"/>
  <c r="D24" i="6"/>
  <c r="C24" i="6"/>
  <c r="F24" i="6" s="1"/>
  <c r="J23" i="6"/>
  <c r="H23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J18" i="6"/>
  <c r="E18" i="6"/>
  <c r="D18" i="6"/>
  <c r="C18" i="6"/>
  <c r="G12" i="6"/>
  <c r="G10" i="6"/>
  <c r="B10" i="6"/>
  <c r="G9" i="6"/>
  <c r="G11" i="6" s="1"/>
  <c r="B9" i="6"/>
  <c r="C5" i="6"/>
  <c r="C4" i="6"/>
  <c r="B3" i="6"/>
  <c r="B2" i="6"/>
  <c r="J63" i="5"/>
  <c r="H63" i="5" s="1"/>
  <c r="E63" i="5"/>
  <c r="D63" i="5"/>
  <c r="C63" i="5"/>
  <c r="B63" i="5"/>
  <c r="B64" i="5" s="1"/>
  <c r="E62" i="5"/>
  <c r="D62" i="5"/>
  <c r="C62" i="5"/>
  <c r="F62" i="5" s="1"/>
  <c r="E61" i="5"/>
  <c r="D61" i="5"/>
  <c r="C61" i="5"/>
  <c r="E60" i="5"/>
  <c r="D60" i="5"/>
  <c r="C60" i="5"/>
  <c r="E59" i="5"/>
  <c r="D59" i="5"/>
  <c r="C59" i="5"/>
  <c r="E58" i="5"/>
  <c r="D58" i="5"/>
  <c r="C58" i="5"/>
  <c r="F58" i="5" s="1"/>
  <c r="E57" i="5"/>
  <c r="D57" i="5"/>
  <c r="C57" i="5"/>
  <c r="E56" i="5"/>
  <c r="D56" i="5"/>
  <c r="C56" i="5"/>
  <c r="E55" i="5"/>
  <c r="D55" i="5"/>
  <c r="C55" i="5"/>
  <c r="E54" i="5"/>
  <c r="D54" i="5"/>
  <c r="C54" i="5"/>
  <c r="F54" i="5" s="1"/>
  <c r="J53" i="5"/>
  <c r="E53" i="5"/>
  <c r="D53" i="5"/>
  <c r="C53" i="5"/>
  <c r="F53" i="5" s="1"/>
  <c r="J52" i="5"/>
  <c r="H52" i="5" s="1"/>
  <c r="E52" i="5"/>
  <c r="D52" i="5"/>
  <c r="C52" i="5"/>
  <c r="F52" i="5" s="1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J46" i="5"/>
  <c r="E46" i="5"/>
  <c r="D46" i="5"/>
  <c r="C46" i="5"/>
  <c r="E45" i="5"/>
  <c r="D45" i="5"/>
  <c r="C45" i="5"/>
  <c r="J44" i="5"/>
  <c r="E44" i="5"/>
  <c r="D44" i="5"/>
  <c r="C44" i="5"/>
  <c r="J43" i="5"/>
  <c r="H43" i="5" s="1"/>
  <c r="E43" i="5"/>
  <c r="D43" i="5"/>
  <c r="C43" i="5"/>
  <c r="H42" i="5"/>
  <c r="E42" i="5"/>
  <c r="D42" i="5"/>
  <c r="C42" i="5"/>
  <c r="H41" i="5"/>
  <c r="E41" i="5"/>
  <c r="D41" i="5"/>
  <c r="C41" i="5"/>
  <c r="H40" i="5"/>
  <c r="E40" i="5"/>
  <c r="D40" i="5"/>
  <c r="C40" i="5"/>
  <c r="H39" i="5"/>
  <c r="E39" i="5"/>
  <c r="D39" i="5"/>
  <c r="C39" i="5"/>
  <c r="F39" i="5" s="1"/>
  <c r="J38" i="5"/>
  <c r="H38" i="5"/>
  <c r="E38" i="5"/>
  <c r="D38" i="5"/>
  <c r="C38" i="5"/>
  <c r="H37" i="5"/>
  <c r="E37" i="5"/>
  <c r="D37" i="5"/>
  <c r="C37" i="5"/>
  <c r="J36" i="5"/>
  <c r="H36" i="5"/>
  <c r="E36" i="5"/>
  <c r="D36" i="5"/>
  <c r="C36" i="5"/>
  <c r="J35" i="5"/>
  <c r="H35" i="5"/>
  <c r="E35" i="5"/>
  <c r="D35" i="5"/>
  <c r="C35" i="5"/>
  <c r="E34" i="5"/>
  <c r="D34" i="5"/>
  <c r="C34" i="5"/>
  <c r="E33" i="5"/>
  <c r="D33" i="5"/>
  <c r="C33" i="5"/>
  <c r="E32" i="5"/>
  <c r="D32" i="5"/>
  <c r="C32" i="5"/>
  <c r="J31" i="5"/>
  <c r="E31" i="5"/>
  <c r="D31" i="5"/>
  <c r="C31" i="5"/>
  <c r="H30" i="5"/>
  <c r="E30" i="5"/>
  <c r="D30" i="5"/>
  <c r="C30" i="5"/>
  <c r="H29" i="5"/>
  <c r="E29" i="5"/>
  <c r="D29" i="5"/>
  <c r="C29" i="5"/>
  <c r="J28" i="5"/>
  <c r="H28" i="5"/>
  <c r="E28" i="5"/>
  <c r="D28" i="5"/>
  <c r="C28" i="5"/>
  <c r="H27" i="5"/>
  <c r="E27" i="5"/>
  <c r="D27" i="5"/>
  <c r="C27" i="5"/>
  <c r="H26" i="5"/>
  <c r="E26" i="5"/>
  <c r="D26" i="5"/>
  <c r="C26" i="5"/>
  <c r="H25" i="5"/>
  <c r="E25" i="5"/>
  <c r="D25" i="5"/>
  <c r="C25" i="5"/>
  <c r="H24" i="5"/>
  <c r="E24" i="5"/>
  <c r="D24" i="5"/>
  <c r="C24" i="5"/>
  <c r="J23" i="5"/>
  <c r="H23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J18" i="5"/>
  <c r="E18" i="5"/>
  <c r="D18" i="5"/>
  <c r="C18" i="5"/>
  <c r="G12" i="5"/>
  <c r="G10" i="5"/>
  <c r="B10" i="5"/>
  <c r="G9" i="5"/>
  <c r="G11" i="5" s="1"/>
  <c r="B9" i="5"/>
  <c r="C5" i="5"/>
  <c r="C4" i="5"/>
  <c r="B3" i="5"/>
  <c r="B2" i="5"/>
  <c r="J63" i="4"/>
  <c r="H63" i="4" s="1"/>
  <c r="E63" i="4"/>
  <c r="D63" i="4"/>
  <c r="C63" i="4"/>
  <c r="B63" i="4"/>
  <c r="E62" i="4"/>
  <c r="D62" i="4"/>
  <c r="C62" i="4"/>
  <c r="E61" i="4"/>
  <c r="D61" i="4"/>
  <c r="C61" i="4"/>
  <c r="E60" i="4"/>
  <c r="D60" i="4"/>
  <c r="C60" i="4"/>
  <c r="E59" i="4"/>
  <c r="D59" i="4"/>
  <c r="C59" i="4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J53" i="4"/>
  <c r="E53" i="4"/>
  <c r="D53" i="4"/>
  <c r="C53" i="4"/>
  <c r="J52" i="4"/>
  <c r="H52" i="4" s="1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J46" i="4"/>
  <c r="E46" i="4"/>
  <c r="D46" i="4"/>
  <c r="C46" i="4"/>
  <c r="E45" i="4"/>
  <c r="D45" i="4"/>
  <c r="C45" i="4"/>
  <c r="J44" i="4"/>
  <c r="E44" i="4"/>
  <c r="D44" i="4"/>
  <c r="C44" i="4"/>
  <c r="J43" i="4"/>
  <c r="H43" i="4" s="1"/>
  <c r="E43" i="4"/>
  <c r="D43" i="4"/>
  <c r="C43" i="4"/>
  <c r="H42" i="4"/>
  <c r="E42" i="4"/>
  <c r="D42" i="4"/>
  <c r="C42" i="4"/>
  <c r="H41" i="4"/>
  <c r="E41" i="4"/>
  <c r="D41" i="4"/>
  <c r="C41" i="4"/>
  <c r="H40" i="4"/>
  <c r="E40" i="4"/>
  <c r="D40" i="4"/>
  <c r="C40" i="4"/>
  <c r="H39" i="4"/>
  <c r="E39" i="4"/>
  <c r="D39" i="4"/>
  <c r="C39" i="4"/>
  <c r="J38" i="4"/>
  <c r="H38" i="4"/>
  <c r="E38" i="4"/>
  <c r="D38" i="4"/>
  <c r="C38" i="4"/>
  <c r="H37" i="4"/>
  <c r="E37" i="4"/>
  <c r="D37" i="4"/>
  <c r="C37" i="4"/>
  <c r="J36" i="4"/>
  <c r="H36" i="4"/>
  <c r="E36" i="4"/>
  <c r="D36" i="4"/>
  <c r="C36" i="4"/>
  <c r="J35" i="4"/>
  <c r="H35" i="4"/>
  <c r="E35" i="4"/>
  <c r="D35" i="4"/>
  <c r="C35" i="4"/>
  <c r="E34" i="4"/>
  <c r="D34" i="4"/>
  <c r="C34" i="4"/>
  <c r="E33" i="4"/>
  <c r="D33" i="4"/>
  <c r="C33" i="4"/>
  <c r="E32" i="4"/>
  <c r="D32" i="4"/>
  <c r="C32" i="4"/>
  <c r="J31" i="4"/>
  <c r="E31" i="4"/>
  <c r="D31" i="4"/>
  <c r="C31" i="4"/>
  <c r="H30" i="4"/>
  <c r="E30" i="4"/>
  <c r="D30" i="4"/>
  <c r="C30" i="4"/>
  <c r="H29" i="4"/>
  <c r="E29" i="4"/>
  <c r="D29" i="4"/>
  <c r="C29" i="4"/>
  <c r="J28" i="4"/>
  <c r="H28" i="4"/>
  <c r="E28" i="4"/>
  <c r="D28" i="4"/>
  <c r="C28" i="4"/>
  <c r="H27" i="4"/>
  <c r="E27" i="4"/>
  <c r="D27" i="4"/>
  <c r="C27" i="4"/>
  <c r="H26" i="4"/>
  <c r="E26" i="4"/>
  <c r="D26" i="4"/>
  <c r="C26" i="4"/>
  <c r="H25" i="4"/>
  <c r="E25" i="4"/>
  <c r="D25" i="4"/>
  <c r="C25" i="4"/>
  <c r="H24" i="4"/>
  <c r="E24" i="4"/>
  <c r="D24" i="4"/>
  <c r="C24" i="4"/>
  <c r="J23" i="4"/>
  <c r="H23" i="4"/>
  <c r="E23" i="4"/>
  <c r="D23" i="4"/>
  <c r="F23" i="4" s="1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J18" i="4"/>
  <c r="E18" i="4"/>
  <c r="D18" i="4"/>
  <c r="C18" i="4"/>
  <c r="G12" i="4"/>
  <c r="G10" i="4"/>
  <c r="B10" i="4"/>
  <c r="G9" i="4"/>
  <c r="B9" i="4"/>
  <c r="C5" i="4"/>
  <c r="C4" i="4"/>
  <c r="B3" i="4"/>
  <c r="B2" i="4"/>
  <c r="J63" i="3"/>
  <c r="H63" i="3" s="1"/>
  <c r="E63" i="3"/>
  <c r="D63" i="3"/>
  <c r="C63" i="3"/>
  <c r="B63" i="3"/>
  <c r="E62" i="3"/>
  <c r="D62" i="3"/>
  <c r="C62" i="3"/>
  <c r="E61" i="3"/>
  <c r="D61" i="3"/>
  <c r="C61" i="3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J53" i="3"/>
  <c r="E53" i="3"/>
  <c r="D53" i="3"/>
  <c r="C53" i="3"/>
  <c r="F53" i="3" s="1"/>
  <c r="J52" i="3"/>
  <c r="H52" i="3" s="1"/>
  <c r="E52" i="3"/>
  <c r="D52" i="3"/>
  <c r="C52" i="3"/>
  <c r="F52" i="3" s="1"/>
  <c r="E51" i="3"/>
  <c r="D51" i="3"/>
  <c r="C51" i="3"/>
  <c r="E50" i="3"/>
  <c r="D50" i="3"/>
  <c r="C50" i="3"/>
  <c r="E49" i="3"/>
  <c r="D49" i="3"/>
  <c r="C49" i="3"/>
  <c r="E48" i="3"/>
  <c r="D48" i="3"/>
  <c r="C48" i="3"/>
  <c r="F48" i="3" s="1"/>
  <c r="E47" i="3"/>
  <c r="D47" i="3"/>
  <c r="C47" i="3"/>
  <c r="J46" i="3"/>
  <c r="E46" i="3"/>
  <c r="D46" i="3"/>
  <c r="C46" i="3"/>
  <c r="E45" i="3"/>
  <c r="D45" i="3"/>
  <c r="C45" i="3"/>
  <c r="J44" i="3"/>
  <c r="E44" i="3"/>
  <c r="D44" i="3"/>
  <c r="C44" i="3"/>
  <c r="J43" i="3"/>
  <c r="H43" i="3" s="1"/>
  <c r="E43" i="3"/>
  <c r="D43" i="3"/>
  <c r="C43" i="3"/>
  <c r="H42" i="3"/>
  <c r="E42" i="3"/>
  <c r="D42" i="3"/>
  <c r="C42" i="3"/>
  <c r="H41" i="3"/>
  <c r="E41" i="3"/>
  <c r="D41" i="3"/>
  <c r="C41" i="3"/>
  <c r="H40" i="3"/>
  <c r="E40" i="3"/>
  <c r="D40" i="3"/>
  <c r="C40" i="3"/>
  <c r="H39" i="3"/>
  <c r="E39" i="3"/>
  <c r="D39" i="3"/>
  <c r="C39" i="3"/>
  <c r="J38" i="3"/>
  <c r="H38" i="3"/>
  <c r="E38" i="3"/>
  <c r="D38" i="3"/>
  <c r="C38" i="3"/>
  <c r="H37" i="3"/>
  <c r="E37" i="3"/>
  <c r="D37" i="3"/>
  <c r="C37" i="3"/>
  <c r="J36" i="3"/>
  <c r="H36" i="3"/>
  <c r="E36" i="3"/>
  <c r="D36" i="3"/>
  <c r="C36" i="3"/>
  <c r="J35" i="3"/>
  <c r="H35" i="3"/>
  <c r="E35" i="3"/>
  <c r="D35" i="3"/>
  <c r="C35" i="3"/>
  <c r="E34" i="3"/>
  <c r="D34" i="3"/>
  <c r="C34" i="3"/>
  <c r="F34" i="3" s="1"/>
  <c r="E33" i="3"/>
  <c r="D33" i="3"/>
  <c r="C33" i="3"/>
  <c r="E32" i="3"/>
  <c r="D32" i="3"/>
  <c r="C32" i="3"/>
  <c r="J31" i="3"/>
  <c r="E31" i="3"/>
  <c r="D31" i="3"/>
  <c r="C31" i="3"/>
  <c r="H30" i="3"/>
  <c r="E30" i="3"/>
  <c r="D30" i="3"/>
  <c r="C30" i="3"/>
  <c r="H29" i="3"/>
  <c r="E29" i="3"/>
  <c r="D29" i="3"/>
  <c r="C29" i="3"/>
  <c r="J28" i="3"/>
  <c r="H28" i="3"/>
  <c r="E28" i="3"/>
  <c r="D28" i="3"/>
  <c r="C28" i="3"/>
  <c r="H27" i="3"/>
  <c r="E27" i="3"/>
  <c r="D27" i="3"/>
  <c r="C27" i="3"/>
  <c r="H26" i="3"/>
  <c r="E26" i="3"/>
  <c r="D26" i="3"/>
  <c r="C26" i="3"/>
  <c r="H25" i="3"/>
  <c r="E25" i="3"/>
  <c r="D25" i="3"/>
  <c r="C25" i="3"/>
  <c r="H24" i="3"/>
  <c r="E24" i="3"/>
  <c r="D24" i="3"/>
  <c r="C24" i="3"/>
  <c r="J23" i="3"/>
  <c r="H23" i="3"/>
  <c r="E23" i="3"/>
  <c r="D23" i="3"/>
  <c r="C23" i="3"/>
  <c r="E22" i="3"/>
  <c r="D22" i="3"/>
  <c r="C22" i="3"/>
  <c r="E21" i="3"/>
  <c r="D21" i="3"/>
  <c r="C21" i="3"/>
  <c r="E20" i="3"/>
  <c r="D20" i="3"/>
  <c r="C20" i="3"/>
  <c r="E19" i="3"/>
  <c r="D19" i="3"/>
  <c r="C19" i="3"/>
  <c r="J18" i="3"/>
  <c r="E18" i="3"/>
  <c r="D18" i="3"/>
  <c r="C18" i="3"/>
  <c r="G12" i="3"/>
  <c r="G10" i="3"/>
  <c r="B10" i="3"/>
  <c r="G9" i="3"/>
  <c r="G11" i="3" s="1"/>
  <c r="B9" i="3"/>
  <c r="C5" i="3"/>
  <c r="C4" i="3"/>
  <c r="B3" i="3"/>
  <c r="B2" i="3"/>
  <c r="J63" i="2"/>
  <c r="H63" i="2" s="1"/>
  <c r="E63" i="2"/>
  <c r="D63" i="2"/>
  <c r="C63" i="2"/>
  <c r="B63" i="2"/>
  <c r="E62" i="2"/>
  <c r="D62" i="2"/>
  <c r="C62" i="2"/>
  <c r="E61" i="2"/>
  <c r="D61" i="2"/>
  <c r="C61" i="2"/>
  <c r="E60" i="2"/>
  <c r="D60" i="2"/>
  <c r="C60" i="2"/>
  <c r="E59" i="2"/>
  <c r="D59" i="2"/>
  <c r="C59" i="2"/>
  <c r="F59" i="2" s="1"/>
  <c r="E58" i="2"/>
  <c r="D58" i="2"/>
  <c r="C58" i="2"/>
  <c r="E57" i="2"/>
  <c r="D57" i="2"/>
  <c r="C57" i="2"/>
  <c r="E56" i="2"/>
  <c r="D56" i="2"/>
  <c r="C56" i="2"/>
  <c r="E55" i="2"/>
  <c r="D55" i="2"/>
  <c r="C55" i="2"/>
  <c r="F55" i="2" s="1"/>
  <c r="E54" i="2"/>
  <c r="D54" i="2"/>
  <c r="C54" i="2"/>
  <c r="J53" i="2"/>
  <c r="E53" i="2"/>
  <c r="D53" i="2"/>
  <c r="C53" i="2"/>
  <c r="J52" i="2"/>
  <c r="H52" i="2" s="1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J46" i="2"/>
  <c r="E46" i="2"/>
  <c r="D46" i="2"/>
  <c r="C46" i="2"/>
  <c r="E45" i="2"/>
  <c r="D45" i="2"/>
  <c r="C45" i="2"/>
  <c r="J44" i="2"/>
  <c r="E44" i="2"/>
  <c r="D44" i="2"/>
  <c r="C44" i="2"/>
  <c r="J43" i="2"/>
  <c r="H43" i="2" s="1"/>
  <c r="E43" i="2"/>
  <c r="D43" i="2"/>
  <c r="C43" i="2"/>
  <c r="H42" i="2"/>
  <c r="E42" i="2"/>
  <c r="D42" i="2"/>
  <c r="C42" i="2"/>
  <c r="H41" i="2"/>
  <c r="E41" i="2"/>
  <c r="D41" i="2"/>
  <c r="C41" i="2"/>
  <c r="H40" i="2"/>
  <c r="E40" i="2"/>
  <c r="D40" i="2"/>
  <c r="C40" i="2"/>
  <c r="H39" i="2"/>
  <c r="E39" i="2"/>
  <c r="D39" i="2"/>
  <c r="C39" i="2"/>
  <c r="J38" i="2"/>
  <c r="H38" i="2"/>
  <c r="E38" i="2"/>
  <c r="D38" i="2"/>
  <c r="C38" i="2"/>
  <c r="H37" i="2"/>
  <c r="E37" i="2"/>
  <c r="D37" i="2"/>
  <c r="C37" i="2"/>
  <c r="J36" i="2"/>
  <c r="H36" i="2"/>
  <c r="E36" i="2"/>
  <c r="D36" i="2"/>
  <c r="C36" i="2"/>
  <c r="J35" i="2"/>
  <c r="H35" i="2"/>
  <c r="E35" i="2"/>
  <c r="D35" i="2"/>
  <c r="C35" i="2"/>
  <c r="E34" i="2"/>
  <c r="D34" i="2"/>
  <c r="C34" i="2"/>
  <c r="E33" i="2"/>
  <c r="D33" i="2"/>
  <c r="C33" i="2"/>
  <c r="E32" i="2"/>
  <c r="D32" i="2"/>
  <c r="C32" i="2"/>
  <c r="J31" i="2"/>
  <c r="E31" i="2"/>
  <c r="D31" i="2"/>
  <c r="C31" i="2"/>
  <c r="H30" i="2"/>
  <c r="E30" i="2"/>
  <c r="D30" i="2"/>
  <c r="C30" i="2"/>
  <c r="H29" i="2"/>
  <c r="E29" i="2"/>
  <c r="D29" i="2"/>
  <c r="C29" i="2"/>
  <c r="J28" i="2"/>
  <c r="H28" i="2"/>
  <c r="E28" i="2"/>
  <c r="D28" i="2"/>
  <c r="C28" i="2"/>
  <c r="H27" i="2"/>
  <c r="E27" i="2"/>
  <c r="D27" i="2"/>
  <c r="C27" i="2"/>
  <c r="H26" i="2"/>
  <c r="E26" i="2"/>
  <c r="D26" i="2"/>
  <c r="C26" i="2"/>
  <c r="H25" i="2"/>
  <c r="E25" i="2"/>
  <c r="D25" i="2"/>
  <c r="C25" i="2"/>
  <c r="H24" i="2"/>
  <c r="E24" i="2"/>
  <c r="D24" i="2"/>
  <c r="C24" i="2"/>
  <c r="F24" i="2" s="1"/>
  <c r="J23" i="2"/>
  <c r="H23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J18" i="2"/>
  <c r="J64" i="2" s="1"/>
  <c r="E18" i="2"/>
  <c r="D18" i="2"/>
  <c r="D64" i="2" s="1"/>
  <c r="C18" i="2"/>
  <c r="G12" i="2"/>
  <c r="G10" i="2"/>
  <c r="B10" i="2"/>
  <c r="G9" i="2"/>
  <c r="G11" i="2" s="1"/>
  <c r="B9" i="2"/>
  <c r="C5" i="2"/>
  <c r="C4" i="2"/>
  <c r="B3" i="2"/>
  <c r="B2" i="2"/>
  <c r="J63" i="1"/>
  <c r="H63" i="1" s="1"/>
  <c r="E63" i="1"/>
  <c r="D63" i="1"/>
  <c r="C63" i="1"/>
  <c r="B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J53" i="1"/>
  <c r="E53" i="1"/>
  <c r="D53" i="1"/>
  <c r="C53" i="1"/>
  <c r="J52" i="1"/>
  <c r="H52" i="1" s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J46" i="1"/>
  <c r="E46" i="1"/>
  <c r="D46" i="1"/>
  <c r="C46" i="1"/>
  <c r="E45" i="1"/>
  <c r="D45" i="1"/>
  <c r="C45" i="1"/>
  <c r="J44" i="1"/>
  <c r="E44" i="1"/>
  <c r="D44" i="1"/>
  <c r="C44" i="1"/>
  <c r="J43" i="1"/>
  <c r="H43" i="1" s="1"/>
  <c r="E43" i="1"/>
  <c r="D43" i="1"/>
  <c r="C43" i="1"/>
  <c r="H42" i="1"/>
  <c r="E42" i="1"/>
  <c r="D42" i="1"/>
  <c r="C42" i="1"/>
  <c r="H41" i="1"/>
  <c r="E41" i="1"/>
  <c r="D41" i="1"/>
  <c r="C41" i="1"/>
  <c r="H40" i="1"/>
  <c r="E40" i="1"/>
  <c r="D40" i="1"/>
  <c r="C40" i="1"/>
  <c r="H39" i="1"/>
  <c r="E39" i="1"/>
  <c r="D39" i="1"/>
  <c r="C39" i="1"/>
  <c r="J38" i="1"/>
  <c r="H38" i="1"/>
  <c r="E38" i="1"/>
  <c r="D38" i="1"/>
  <c r="C38" i="1"/>
  <c r="H37" i="1"/>
  <c r="E37" i="1"/>
  <c r="D37" i="1"/>
  <c r="C37" i="1"/>
  <c r="J36" i="1"/>
  <c r="H36" i="1"/>
  <c r="E36" i="1"/>
  <c r="D36" i="1"/>
  <c r="C36" i="1"/>
  <c r="J35" i="1"/>
  <c r="H35" i="1"/>
  <c r="E35" i="1"/>
  <c r="D35" i="1"/>
  <c r="C35" i="1"/>
  <c r="E34" i="1"/>
  <c r="D34" i="1"/>
  <c r="C34" i="1"/>
  <c r="E33" i="1"/>
  <c r="D33" i="1"/>
  <c r="C33" i="1"/>
  <c r="E32" i="1"/>
  <c r="D32" i="1"/>
  <c r="C32" i="1"/>
  <c r="J31" i="1"/>
  <c r="E31" i="1"/>
  <c r="D31" i="1"/>
  <c r="C31" i="1"/>
  <c r="H30" i="1"/>
  <c r="E30" i="1"/>
  <c r="D30" i="1"/>
  <c r="C30" i="1"/>
  <c r="H29" i="1"/>
  <c r="E29" i="1"/>
  <c r="D29" i="1"/>
  <c r="C29" i="1"/>
  <c r="J28" i="1"/>
  <c r="H28" i="1"/>
  <c r="E28" i="1"/>
  <c r="D28" i="1"/>
  <c r="C28" i="1"/>
  <c r="H27" i="1"/>
  <c r="E27" i="1"/>
  <c r="D27" i="1"/>
  <c r="C27" i="1"/>
  <c r="H26" i="1"/>
  <c r="E26" i="1"/>
  <c r="D26" i="1"/>
  <c r="C26" i="1"/>
  <c r="H25" i="1"/>
  <c r="E25" i="1"/>
  <c r="D25" i="1"/>
  <c r="C25" i="1"/>
  <c r="H24" i="1"/>
  <c r="E24" i="1"/>
  <c r="D24" i="1"/>
  <c r="C24" i="1"/>
  <c r="J23" i="1"/>
  <c r="H23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J18" i="1"/>
  <c r="E18" i="1"/>
  <c r="D18" i="1"/>
  <c r="C18" i="1"/>
  <c r="G12" i="1"/>
  <c r="G10" i="1"/>
  <c r="B10" i="1"/>
  <c r="G9" i="1"/>
  <c r="B9" i="1"/>
  <c r="C5" i="1"/>
  <c r="C4" i="1"/>
  <c r="B3" i="1"/>
  <c r="B2" i="1"/>
  <c r="F62" i="3" l="1"/>
  <c r="E21" i="16"/>
  <c r="B21" i="21"/>
  <c r="B21" i="20"/>
  <c r="F21" i="20" s="1"/>
  <c r="B21" i="19"/>
  <c r="B21" i="22"/>
  <c r="F41" i="1"/>
  <c r="C64" i="2"/>
  <c r="E64" i="2"/>
  <c r="F21" i="2"/>
  <c r="F28" i="2"/>
  <c r="F29" i="2"/>
  <c r="F30" i="2"/>
  <c r="J64" i="3"/>
  <c r="F35" i="3"/>
  <c r="F49" i="3"/>
  <c r="F55" i="3"/>
  <c r="F59" i="3"/>
  <c r="F63" i="3"/>
  <c r="F32" i="4"/>
  <c r="F34" i="4"/>
  <c r="F36" i="4"/>
  <c r="C64" i="6"/>
  <c r="F19" i="6"/>
  <c r="F34" i="6"/>
  <c r="F36" i="6"/>
  <c r="F48" i="6"/>
  <c r="F52" i="6"/>
  <c r="F53" i="6"/>
  <c r="F54" i="6"/>
  <c r="F62" i="6"/>
  <c r="F29" i="7"/>
  <c r="F31" i="7"/>
  <c r="F32" i="7"/>
  <c r="F37" i="7"/>
  <c r="F40" i="7"/>
  <c r="F42" i="7"/>
  <c r="F44" i="7"/>
  <c r="F53" i="7"/>
  <c r="F54" i="7"/>
  <c r="F58" i="7"/>
  <c r="F46" i="8"/>
  <c r="F58" i="8"/>
  <c r="C21" i="17"/>
  <c r="E21" i="17"/>
  <c r="F18" i="16"/>
  <c r="D21" i="21"/>
  <c r="F19" i="21"/>
  <c r="D21" i="20"/>
  <c r="F19" i="20"/>
  <c r="D21" i="19"/>
  <c r="F19" i="19"/>
  <c r="D21" i="23"/>
  <c r="F19" i="23"/>
  <c r="F18" i="22"/>
  <c r="E21" i="22"/>
  <c r="D21" i="18"/>
  <c r="F19" i="18"/>
  <c r="F20" i="18"/>
  <c r="C21" i="18"/>
  <c r="C21" i="22"/>
  <c r="F20" i="23"/>
  <c r="C21" i="23"/>
  <c r="C21" i="19"/>
  <c r="F21" i="19" s="1"/>
  <c r="C21" i="20"/>
  <c r="C21" i="21"/>
  <c r="F21" i="21" s="1"/>
  <c r="F21" i="16"/>
  <c r="D22" i="16" s="1"/>
  <c r="G18" i="16"/>
  <c r="F20" i="16"/>
  <c r="F20" i="17"/>
  <c r="D21" i="17"/>
  <c r="F25" i="2"/>
  <c r="F33" i="2"/>
  <c r="F38" i="2"/>
  <c r="F19" i="2"/>
  <c r="F31" i="2"/>
  <c r="F32" i="2"/>
  <c r="F39" i="2"/>
  <c r="F40" i="2"/>
  <c r="F41" i="2"/>
  <c r="F42" i="2"/>
  <c r="F43" i="2"/>
  <c r="F44" i="2"/>
  <c r="J64" i="1"/>
  <c r="F24" i="8"/>
  <c r="F25" i="8"/>
  <c r="F26" i="8"/>
  <c r="F28" i="8"/>
  <c r="F34" i="8"/>
  <c r="F48" i="8"/>
  <c r="F52" i="8"/>
  <c r="F53" i="8"/>
  <c r="F54" i="8"/>
  <c r="F62" i="8"/>
  <c r="F18" i="8"/>
  <c r="F19" i="8"/>
  <c r="F23" i="8"/>
  <c r="F35" i="8"/>
  <c r="F56" i="8"/>
  <c r="F47" i="8"/>
  <c r="J64" i="6"/>
  <c r="F21" i="6"/>
  <c r="F49" i="6"/>
  <c r="F55" i="6"/>
  <c r="F57" i="6"/>
  <c r="F59" i="6"/>
  <c r="E64" i="6"/>
  <c r="F29" i="6"/>
  <c r="F30" i="6"/>
  <c r="D64" i="6"/>
  <c r="H41" i="7"/>
  <c r="J43" i="7"/>
  <c r="H43" i="7" s="1"/>
  <c r="H38" i="7"/>
  <c r="F21" i="5"/>
  <c r="F29" i="5"/>
  <c r="F30" i="5"/>
  <c r="F31" i="5"/>
  <c r="F40" i="5"/>
  <c r="F41" i="5"/>
  <c r="F42" i="5"/>
  <c r="F43" i="5"/>
  <c r="F44" i="5"/>
  <c r="H26" i="7"/>
  <c r="H27" i="7"/>
  <c r="J28" i="7"/>
  <c r="J52" i="7"/>
  <c r="H52" i="7" s="1"/>
  <c r="D64" i="5"/>
  <c r="F22" i="5"/>
  <c r="F24" i="5"/>
  <c r="F25" i="5"/>
  <c r="F26" i="5"/>
  <c r="F27" i="5"/>
  <c r="F28" i="5"/>
  <c r="F33" i="5"/>
  <c r="F37" i="5"/>
  <c r="F38" i="5"/>
  <c r="F47" i="5"/>
  <c r="H28" i="7"/>
  <c r="H40" i="7"/>
  <c r="J36" i="7"/>
  <c r="F29" i="4"/>
  <c r="F30" i="4"/>
  <c r="F31" i="4"/>
  <c r="F28" i="4"/>
  <c r="F19" i="4"/>
  <c r="J64" i="7"/>
  <c r="F20" i="7"/>
  <c r="F23" i="7"/>
  <c r="F59" i="7"/>
  <c r="F60" i="7"/>
  <c r="F61" i="8"/>
  <c r="F38" i="8"/>
  <c r="F60" i="8"/>
  <c r="F26" i="2"/>
  <c r="F34" i="2"/>
  <c r="F35" i="2"/>
  <c r="F63" i="2"/>
  <c r="F45" i="2"/>
  <c r="F50" i="2"/>
  <c r="F62" i="2"/>
  <c r="E64" i="5"/>
  <c r="F45" i="5"/>
  <c r="F50" i="5"/>
  <c r="F18" i="5"/>
  <c r="F19" i="5"/>
  <c r="F23" i="5"/>
  <c r="F34" i="5"/>
  <c r="F36" i="5"/>
  <c r="F48" i="5"/>
  <c r="F60" i="5"/>
  <c r="J64" i="5"/>
  <c r="F35" i="5"/>
  <c r="F56" i="5"/>
  <c r="F61" i="5"/>
  <c r="F60" i="6"/>
  <c r="F35" i="6"/>
  <c r="F50" i="6"/>
  <c r="F61" i="6"/>
  <c r="F51" i="6"/>
  <c r="F18" i="3"/>
  <c r="F19" i="3"/>
  <c r="F23" i="3"/>
  <c r="F54" i="3"/>
  <c r="E64" i="3"/>
  <c r="F29" i="3"/>
  <c r="F30" i="3"/>
  <c r="F31" i="3"/>
  <c r="F32" i="3"/>
  <c r="F38" i="3"/>
  <c r="F39" i="3"/>
  <c r="F40" i="3"/>
  <c r="F41" i="3"/>
  <c r="F42" i="3"/>
  <c r="D64" i="3"/>
  <c r="F22" i="3"/>
  <c r="F24" i="3"/>
  <c r="F25" i="3"/>
  <c r="F26" i="3"/>
  <c r="F27" i="3"/>
  <c r="F33" i="4"/>
  <c r="F37" i="4"/>
  <c r="F38" i="4"/>
  <c r="F46" i="4"/>
  <c r="E64" i="4"/>
  <c r="F21" i="4"/>
  <c r="F24" i="4"/>
  <c r="F25" i="4"/>
  <c r="F26" i="4"/>
  <c r="F27" i="4"/>
  <c r="F35" i="4"/>
  <c r="F49" i="4"/>
  <c r="F55" i="4"/>
  <c r="F59" i="4"/>
  <c r="F63" i="4"/>
  <c r="F39" i="4"/>
  <c r="F41" i="4"/>
  <c r="F42" i="4"/>
  <c r="F43" i="4"/>
  <c r="F48" i="4"/>
  <c r="F52" i="4"/>
  <c r="F53" i="4"/>
  <c r="F54" i="4"/>
  <c r="F58" i="4"/>
  <c r="F62" i="4"/>
  <c r="F20" i="1"/>
  <c r="F24" i="1"/>
  <c r="F26" i="1"/>
  <c r="F28" i="1"/>
  <c r="F35" i="1"/>
  <c r="F49" i="1"/>
  <c r="F55" i="1"/>
  <c r="F59" i="1"/>
  <c r="F63" i="1"/>
  <c r="F19" i="1"/>
  <c r="F23" i="1"/>
  <c r="F34" i="1"/>
  <c r="F52" i="1"/>
  <c r="F53" i="1"/>
  <c r="F56" i="1"/>
  <c r="F62" i="1"/>
  <c r="G11" i="1"/>
  <c r="F27" i="8"/>
  <c r="F33" i="8"/>
  <c r="F36" i="8"/>
  <c r="F40" i="8"/>
  <c r="F59" i="8"/>
  <c r="D64" i="8"/>
  <c r="F20" i="8"/>
  <c r="F22" i="8"/>
  <c r="F49" i="8"/>
  <c r="F55" i="8"/>
  <c r="F63" i="8"/>
  <c r="G11" i="8"/>
  <c r="C64" i="8"/>
  <c r="J64" i="8"/>
  <c r="F37" i="8"/>
  <c r="F42" i="8"/>
  <c r="F51" i="8"/>
  <c r="F57" i="8"/>
  <c r="D64" i="7"/>
  <c r="F24" i="7"/>
  <c r="F25" i="7"/>
  <c r="F26" i="7"/>
  <c r="F27" i="7"/>
  <c r="F34" i="7"/>
  <c r="F36" i="7"/>
  <c r="F48" i="7"/>
  <c r="F56" i="7"/>
  <c r="G11" i="7"/>
  <c r="F19" i="7"/>
  <c r="F39" i="7"/>
  <c r="F57" i="7"/>
  <c r="F62" i="7"/>
  <c r="F45" i="7"/>
  <c r="F63" i="7"/>
  <c r="F18" i="6"/>
  <c r="F22" i="6"/>
  <c r="F27" i="6"/>
  <c r="F28" i="6"/>
  <c r="F33" i="6"/>
  <c r="F37" i="6"/>
  <c r="F38" i="6"/>
  <c r="F46" i="6"/>
  <c r="F47" i="6"/>
  <c r="F58" i="6"/>
  <c r="F23" i="6"/>
  <c r="F20" i="6"/>
  <c r="F31" i="6"/>
  <c r="F32" i="6"/>
  <c r="F39" i="6"/>
  <c r="F40" i="6"/>
  <c r="F41" i="6"/>
  <c r="F42" i="6"/>
  <c r="F43" i="6"/>
  <c r="F44" i="6"/>
  <c r="F45" i="6"/>
  <c r="F56" i="6"/>
  <c r="F63" i="6"/>
  <c r="F46" i="5"/>
  <c r="F59" i="5"/>
  <c r="F20" i="5"/>
  <c r="F49" i="5"/>
  <c r="F55" i="5"/>
  <c r="F63" i="5"/>
  <c r="F32" i="5"/>
  <c r="F51" i="5"/>
  <c r="F57" i="5"/>
  <c r="F43" i="3"/>
  <c r="F44" i="3"/>
  <c r="F45" i="3"/>
  <c r="F46" i="3"/>
  <c r="F50" i="3"/>
  <c r="F56" i="3"/>
  <c r="F60" i="3"/>
  <c r="F20" i="3"/>
  <c r="F47" i="3"/>
  <c r="F51" i="3"/>
  <c r="F57" i="3"/>
  <c r="F61" i="3"/>
  <c r="F21" i="3"/>
  <c r="F37" i="3"/>
  <c r="F58" i="3"/>
  <c r="F28" i="3"/>
  <c r="F33" i="3"/>
  <c r="F36" i="3"/>
  <c r="D64" i="4"/>
  <c r="F20" i="4"/>
  <c r="G11" i="4"/>
  <c r="C64" i="4"/>
  <c r="J64" i="4"/>
  <c r="F22" i="4"/>
  <c r="F47" i="4"/>
  <c r="F51" i="4"/>
  <c r="F57" i="4"/>
  <c r="F61" i="4"/>
  <c r="F18" i="4"/>
  <c r="F40" i="4"/>
  <c r="F44" i="4"/>
  <c r="F45" i="4"/>
  <c r="F50" i="4"/>
  <c r="F56" i="4"/>
  <c r="F60" i="4"/>
  <c r="F23" i="2"/>
  <c r="F48" i="2"/>
  <c r="F51" i="2"/>
  <c r="F20" i="2"/>
  <c r="F46" i="2"/>
  <c r="F52" i="2"/>
  <c r="F53" i="2"/>
  <c r="F58" i="2"/>
  <c r="F37" i="2"/>
  <c r="F27" i="2"/>
  <c r="F36" i="2"/>
  <c r="F54" i="2"/>
  <c r="E64" i="1"/>
  <c r="F38" i="1"/>
  <c r="F40" i="1"/>
  <c r="F42" i="1"/>
  <c r="F44" i="1"/>
  <c r="D64" i="1"/>
  <c r="F22" i="1"/>
  <c r="F25" i="1"/>
  <c r="F27" i="1"/>
  <c r="F33" i="1"/>
  <c r="F37" i="1"/>
  <c r="F46" i="1"/>
  <c r="F47" i="1"/>
  <c r="F51" i="1"/>
  <c r="F57" i="1"/>
  <c r="F61" i="1"/>
  <c r="C64" i="1"/>
  <c r="F21" i="1"/>
  <c r="F29" i="1"/>
  <c r="F31" i="1"/>
  <c r="F32" i="1"/>
  <c r="F36" i="1"/>
  <c r="F39" i="1"/>
  <c r="F48" i="1"/>
  <c r="F50" i="1"/>
  <c r="F54" i="1"/>
  <c r="F58" i="1"/>
  <c r="F30" i="1"/>
  <c r="F43" i="1"/>
  <c r="F45" i="1"/>
  <c r="F60" i="1"/>
  <c r="C64" i="7"/>
  <c r="F22" i="7"/>
  <c r="F51" i="7"/>
  <c r="F18" i="7"/>
  <c r="E64" i="7"/>
  <c r="F35" i="7"/>
  <c r="F46" i="7"/>
  <c r="F47" i="7"/>
  <c r="F61" i="7"/>
  <c r="B64" i="7"/>
  <c r="F49" i="7"/>
  <c r="F55" i="7"/>
  <c r="B64" i="6"/>
  <c r="C64" i="5"/>
  <c r="B64" i="4"/>
  <c r="F22" i="2"/>
  <c r="F18" i="2"/>
  <c r="F56" i="2"/>
  <c r="F47" i="2"/>
  <c r="F57" i="2"/>
  <c r="F61" i="2"/>
  <c r="F49" i="2"/>
  <c r="F60" i="2"/>
  <c r="C64" i="3"/>
  <c r="B64" i="3"/>
  <c r="B64" i="2"/>
  <c r="F18" i="1"/>
  <c r="B64" i="1"/>
  <c r="M89" i="24"/>
  <c r="J89" i="24"/>
  <c r="I89" i="24"/>
  <c r="H89" i="24"/>
  <c r="G89" i="24"/>
  <c r="F89" i="24"/>
  <c r="D89" i="24"/>
  <c r="C89" i="24"/>
  <c r="K89" i="24" s="1"/>
  <c r="B89" i="24"/>
  <c r="M88" i="24"/>
  <c r="I88" i="24"/>
  <c r="H88" i="24"/>
  <c r="G88" i="24"/>
  <c r="F88" i="24"/>
  <c r="D88" i="24"/>
  <c r="C88" i="24"/>
  <c r="B88" i="24"/>
  <c r="M87" i="24"/>
  <c r="J87" i="24"/>
  <c r="I87" i="24"/>
  <c r="H87" i="24"/>
  <c r="G87" i="24"/>
  <c r="F87" i="24"/>
  <c r="D87" i="24"/>
  <c r="C87" i="24"/>
  <c r="K87" i="24" s="1"/>
  <c r="L87" i="24" s="1"/>
  <c r="B87" i="24"/>
  <c r="M86" i="24"/>
  <c r="J86" i="24"/>
  <c r="I86" i="24"/>
  <c r="I90" i="24" s="1"/>
  <c r="H86" i="24"/>
  <c r="G86" i="24"/>
  <c r="G90" i="24" s="1"/>
  <c r="F86" i="24"/>
  <c r="E86" i="24"/>
  <c r="D86" i="24"/>
  <c r="C86" i="24"/>
  <c r="B86" i="24"/>
  <c r="M84" i="24"/>
  <c r="I84" i="24"/>
  <c r="H84" i="24"/>
  <c r="G84" i="24"/>
  <c r="F84" i="24"/>
  <c r="D84" i="24"/>
  <c r="C84" i="24"/>
  <c r="B84" i="24"/>
  <c r="M83" i="24"/>
  <c r="I83" i="24"/>
  <c r="H83" i="24"/>
  <c r="G83" i="24"/>
  <c r="F83" i="24"/>
  <c r="D83" i="24"/>
  <c r="C83" i="24"/>
  <c r="B83" i="24"/>
  <c r="M82" i="24"/>
  <c r="J82" i="24"/>
  <c r="I82" i="24"/>
  <c r="H82" i="24"/>
  <c r="G82" i="24"/>
  <c r="F82" i="24"/>
  <c r="D82" i="24"/>
  <c r="C82" i="24"/>
  <c r="B82" i="24"/>
  <c r="M81" i="24"/>
  <c r="J81" i="24"/>
  <c r="I81" i="24"/>
  <c r="H81" i="24"/>
  <c r="G81" i="24"/>
  <c r="F81" i="24"/>
  <c r="F85" i="24" s="1"/>
  <c r="E81" i="24"/>
  <c r="D81" i="24"/>
  <c r="C81" i="24"/>
  <c r="B81" i="24"/>
  <c r="M79" i="24"/>
  <c r="J79" i="24"/>
  <c r="I79" i="24"/>
  <c r="H79" i="24"/>
  <c r="G79" i="24"/>
  <c r="F79" i="24"/>
  <c r="D79" i="24"/>
  <c r="C79" i="24"/>
  <c r="B79" i="24"/>
  <c r="M78" i="24"/>
  <c r="J78" i="24"/>
  <c r="I78" i="24"/>
  <c r="I80" i="24" s="1"/>
  <c r="H78" i="24"/>
  <c r="G78" i="24"/>
  <c r="F78" i="24"/>
  <c r="E78" i="24"/>
  <c r="D78" i="24"/>
  <c r="C78" i="24"/>
  <c r="K78" i="24" s="1"/>
  <c r="L78" i="24" s="1"/>
  <c r="B78" i="24"/>
  <c r="M77" i="24"/>
  <c r="I77" i="24"/>
  <c r="H77" i="24"/>
  <c r="G77" i="24"/>
  <c r="F77" i="24"/>
  <c r="D77" i="24"/>
  <c r="C77" i="24"/>
  <c r="B77" i="24"/>
  <c r="M76" i="24"/>
  <c r="I76" i="24"/>
  <c r="H76" i="24"/>
  <c r="H80" i="24" s="1"/>
  <c r="G76" i="24"/>
  <c r="F76" i="24"/>
  <c r="D76" i="24"/>
  <c r="C76" i="24"/>
  <c r="C80" i="24" s="1"/>
  <c r="B76" i="24"/>
  <c r="M74" i="24"/>
  <c r="J74" i="24"/>
  <c r="I74" i="24"/>
  <c r="H74" i="24"/>
  <c r="G74" i="24"/>
  <c r="F74" i="24"/>
  <c r="E74" i="24"/>
  <c r="D74" i="24"/>
  <c r="C74" i="24"/>
  <c r="B74" i="24"/>
  <c r="M73" i="24"/>
  <c r="J73" i="24"/>
  <c r="I73" i="24"/>
  <c r="H73" i="24"/>
  <c r="G73" i="24"/>
  <c r="F73" i="24"/>
  <c r="E73" i="24"/>
  <c r="D73" i="24"/>
  <c r="C73" i="24"/>
  <c r="K73" i="24" s="1"/>
  <c r="B73" i="24"/>
  <c r="M72" i="24"/>
  <c r="I72" i="24"/>
  <c r="H72" i="24"/>
  <c r="G72" i="24"/>
  <c r="F72" i="24"/>
  <c r="E72" i="24"/>
  <c r="D72" i="24"/>
  <c r="C72" i="24"/>
  <c r="B72" i="24"/>
  <c r="M71" i="24"/>
  <c r="I71" i="24"/>
  <c r="H71" i="24"/>
  <c r="G71" i="24"/>
  <c r="F71" i="24"/>
  <c r="E71" i="24"/>
  <c r="D71" i="24"/>
  <c r="C71" i="24"/>
  <c r="B71" i="24"/>
  <c r="O68" i="24"/>
  <c r="P67" i="24"/>
  <c r="Q67" i="24" s="1"/>
  <c r="M67" i="24"/>
  <c r="N67" i="24" s="1"/>
  <c r="E67" i="24"/>
  <c r="F67" i="24" s="1"/>
  <c r="P66" i="24"/>
  <c r="Q66" i="24" s="1"/>
  <c r="M66" i="24"/>
  <c r="N66" i="24" s="1"/>
  <c r="E66" i="24"/>
  <c r="F66" i="24" s="1"/>
  <c r="P65" i="24"/>
  <c r="Q65" i="24" s="1"/>
  <c r="M65" i="24"/>
  <c r="N65" i="24" s="1"/>
  <c r="E65" i="24"/>
  <c r="F65" i="24" s="1"/>
  <c r="P64" i="24"/>
  <c r="Q64" i="24" s="1"/>
  <c r="M64" i="24"/>
  <c r="N64" i="24" s="1"/>
  <c r="E64" i="24"/>
  <c r="F64" i="24" s="1"/>
  <c r="P63" i="24"/>
  <c r="Q63" i="24" s="1"/>
  <c r="M63" i="24"/>
  <c r="N63" i="24" s="1"/>
  <c r="E63" i="24"/>
  <c r="F63" i="24" s="1"/>
  <c r="P62" i="24"/>
  <c r="Q62" i="24" s="1"/>
  <c r="M62" i="24"/>
  <c r="N62" i="24" s="1"/>
  <c r="E62" i="24"/>
  <c r="F62" i="24" s="1"/>
  <c r="P61" i="24"/>
  <c r="Q61" i="24" s="1"/>
  <c r="M61" i="24"/>
  <c r="N61" i="24" s="1"/>
  <c r="E61" i="24"/>
  <c r="F61" i="24" s="1"/>
  <c r="P60" i="24"/>
  <c r="Q60" i="24" s="1"/>
  <c r="M60" i="24"/>
  <c r="N60" i="24" s="1"/>
  <c r="E60" i="24"/>
  <c r="F60" i="24" s="1"/>
  <c r="P59" i="24"/>
  <c r="Q59" i="24" s="1"/>
  <c r="M59" i="24"/>
  <c r="N59" i="24" s="1"/>
  <c r="E59" i="24"/>
  <c r="F59" i="24" s="1"/>
  <c r="P58" i="24"/>
  <c r="Q58" i="24" s="1"/>
  <c r="M58" i="24"/>
  <c r="N58" i="24" s="1"/>
  <c r="E58" i="24"/>
  <c r="F58" i="24" s="1"/>
  <c r="P57" i="24"/>
  <c r="Q57" i="24" s="1"/>
  <c r="M57" i="24"/>
  <c r="N57" i="24" s="1"/>
  <c r="E57" i="24"/>
  <c r="F57" i="24" s="1"/>
  <c r="P56" i="24"/>
  <c r="Q56" i="24" s="1"/>
  <c r="M56" i="24"/>
  <c r="N56" i="24" s="1"/>
  <c r="E56" i="24"/>
  <c r="F56" i="24" s="1"/>
  <c r="P55" i="24"/>
  <c r="Q55" i="24" s="1"/>
  <c r="M55" i="24"/>
  <c r="N55" i="24" s="1"/>
  <c r="E55" i="24"/>
  <c r="F55" i="24" s="1"/>
  <c r="P54" i="24"/>
  <c r="Q54" i="24" s="1"/>
  <c r="M54" i="24"/>
  <c r="N54" i="24" s="1"/>
  <c r="E54" i="24"/>
  <c r="F54" i="24" s="1"/>
  <c r="P53" i="24"/>
  <c r="Q53" i="24" s="1"/>
  <c r="M53" i="24"/>
  <c r="N53" i="24" s="1"/>
  <c r="E53" i="24"/>
  <c r="F53" i="24" s="1"/>
  <c r="P52" i="24"/>
  <c r="Q52" i="24" s="1"/>
  <c r="M52" i="24"/>
  <c r="N52" i="24" s="1"/>
  <c r="E52" i="24"/>
  <c r="F52" i="24" s="1"/>
  <c r="P51" i="24"/>
  <c r="Q51" i="24" s="1"/>
  <c r="M51" i="24"/>
  <c r="N51" i="24" s="1"/>
  <c r="I51" i="24"/>
  <c r="E89" i="24" s="1"/>
  <c r="E51" i="24"/>
  <c r="F51" i="24" s="1"/>
  <c r="M50" i="24"/>
  <c r="L50" i="24"/>
  <c r="J88" i="24" s="1"/>
  <c r="I50" i="24"/>
  <c r="E88" i="24" s="1"/>
  <c r="F50" i="24"/>
  <c r="E50" i="24"/>
  <c r="P49" i="24"/>
  <c r="Q49" i="24" s="1"/>
  <c r="M49" i="24"/>
  <c r="N49" i="24" s="1"/>
  <c r="I49" i="24"/>
  <c r="E49" i="24" s="1"/>
  <c r="F49" i="24" s="1"/>
  <c r="P48" i="24"/>
  <c r="Q48" i="24" s="1"/>
  <c r="M48" i="24"/>
  <c r="N48" i="24" s="1"/>
  <c r="E48" i="24"/>
  <c r="F48" i="24" s="1"/>
  <c r="M47" i="24"/>
  <c r="N47" i="24" s="1"/>
  <c r="L47" i="24"/>
  <c r="J84" i="24" s="1"/>
  <c r="I47" i="24"/>
  <c r="E84" i="24" s="1"/>
  <c r="M46" i="24"/>
  <c r="L46" i="24"/>
  <c r="J83" i="24" s="1"/>
  <c r="I46" i="24"/>
  <c r="E83" i="24" s="1"/>
  <c r="E46" i="24"/>
  <c r="F46" i="24" s="1"/>
  <c r="P45" i="24"/>
  <c r="Q45" i="24" s="1"/>
  <c r="M45" i="24"/>
  <c r="N45" i="24" s="1"/>
  <c r="I45" i="24"/>
  <c r="E82" i="24" s="1"/>
  <c r="E45" i="24"/>
  <c r="F45" i="24" s="1"/>
  <c r="P44" i="24"/>
  <c r="Q44" i="24" s="1"/>
  <c r="M44" i="24"/>
  <c r="N44" i="24" s="1"/>
  <c r="E44" i="24"/>
  <c r="F44" i="24" s="1"/>
  <c r="P43" i="24"/>
  <c r="Q43" i="24" s="1"/>
  <c r="M43" i="24"/>
  <c r="N43" i="24" s="1"/>
  <c r="I43" i="24"/>
  <c r="E79" i="24" s="1"/>
  <c r="P42" i="24"/>
  <c r="Q42" i="24" s="1"/>
  <c r="M42" i="24"/>
  <c r="N42" i="24" s="1"/>
  <c r="E42" i="24"/>
  <c r="F42" i="24" s="1"/>
  <c r="M41" i="24"/>
  <c r="N41" i="24" s="1"/>
  <c r="L41" i="24"/>
  <c r="J77" i="24" s="1"/>
  <c r="I41" i="24"/>
  <c r="E77" i="24" s="1"/>
  <c r="M40" i="24"/>
  <c r="N40" i="24" s="1"/>
  <c r="L40" i="24"/>
  <c r="J76" i="24" s="1"/>
  <c r="I40" i="24"/>
  <c r="E76" i="24" s="1"/>
  <c r="E80" i="24" s="1"/>
  <c r="P39" i="24"/>
  <c r="Q39" i="24" s="1"/>
  <c r="M39" i="24"/>
  <c r="N39" i="24" s="1"/>
  <c r="E39" i="24"/>
  <c r="F39" i="24" s="1"/>
  <c r="P38" i="24"/>
  <c r="Q38" i="24" s="1"/>
  <c r="M38" i="24"/>
  <c r="N38" i="24" s="1"/>
  <c r="E38" i="24"/>
  <c r="F38" i="24" s="1"/>
  <c r="M37" i="24"/>
  <c r="N37" i="24" s="1"/>
  <c r="L37" i="24"/>
  <c r="J72" i="24" s="1"/>
  <c r="E37" i="24"/>
  <c r="F37" i="24" s="1"/>
  <c r="M36" i="24"/>
  <c r="L36" i="24"/>
  <c r="J71" i="24" s="1"/>
  <c r="I36" i="24"/>
  <c r="E36" i="24"/>
  <c r="F36" i="24" s="1"/>
  <c r="P35" i="24"/>
  <c r="Q35" i="24" s="1"/>
  <c r="M35" i="24"/>
  <c r="N35" i="24" s="1"/>
  <c r="E35" i="24"/>
  <c r="F35" i="24" s="1"/>
  <c r="P34" i="24"/>
  <c r="Q34" i="24" s="1"/>
  <c r="M34" i="24"/>
  <c r="N34" i="24" s="1"/>
  <c r="E34" i="24"/>
  <c r="F34" i="24" s="1"/>
  <c r="P33" i="24"/>
  <c r="Q33" i="24" s="1"/>
  <c r="M33" i="24"/>
  <c r="N33" i="24" s="1"/>
  <c r="E33" i="24"/>
  <c r="F33" i="24" s="1"/>
  <c r="P32" i="24"/>
  <c r="Q32" i="24" s="1"/>
  <c r="M32" i="24"/>
  <c r="N32" i="24" s="1"/>
  <c r="E32" i="24"/>
  <c r="F32" i="24" s="1"/>
  <c r="P31" i="24"/>
  <c r="Q31" i="24" s="1"/>
  <c r="M31" i="24"/>
  <c r="N31" i="24" s="1"/>
  <c r="E31" i="24"/>
  <c r="F31" i="24" s="1"/>
  <c r="P30" i="24"/>
  <c r="Q30" i="24" s="1"/>
  <c r="M30" i="24"/>
  <c r="N30" i="24" s="1"/>
  <c r="E30" i="24"/>
  <c r="F30" i="24" s="1"/>
  <c r="Q29" i="24"/>
  <c r="M29" i="24"/>
  <c r="N29" i="24" s="1"/>
  <c r="E29" i="24"/>
  <c r="F29" i="24" s="1"/>
  <c r="Q28" i="24"/>
  <c r="M28" i="24"/>
  <c r="N28" i="24" s="1"/>
  <c r="E28" i="24"/>
  <c r="F28" i="24" s="1"/>
  <c r="P27" i="24"/>
  <c r="Q27" i="24" s="1"/>
  <c r="M27" i="24"/>
  <c r="N27" i="24" s="1"/>
  <c r="E27" i="24"/>
  <c r="F27" i="24" s="1"/>
  <c r="P26" i="24"/>
  <c r="Q26" i="24" s="1"/>
  <c r="M26" i="24"/>
  <c r="N26" i="24" s="1"/>
  <c r="E26" i="24"/>
  <c r="F26" i="24" s="1"/>
  <c r="P25" i="24"/>
  <c r="Q25" i="24" s="1"/>
  <c r="M25" i="24"/>
  <c r="N25" i="24" s="1"/>
  <c r="E25" i="24"/>
  <c r="F25" i="24" s="1"/>
  <c r="P24" i="24"/>
  <c r="Q24" i="24" s="1"/>
  <c r="M24" i="24"/>
  <c r="N24" i="24" s="1"/>
  <c r="E24" i="24"/>
  <c r="F24" i="24" s="1"/>
  <c r="P23" i="24"/>
  <c r="Q23" i="24" s="1"/>
  <c r="M23" i="24"/>
  <c r="N23" i="24" s="1"/>
  <c r="E23" i="24"/>
  <c r="F23" i="24" s="1"/>
  <c r="P22" i="24"/>
  <c r="Q22" i="24" s="1"/>
  <c r="M22" i="24"/>
  <c r="N22" i="24" s="1"/>
  <c r="E22" i="24"/>
  <c r="F22" i="24" s="1"/>
  <c r="P21" i="24"/>
  <c r="Q21" i="24" s="1"/>
  <c r="M21" i="24"/>
  <c r="N21" i="24" s="1"/>
  <c r="E21" i="24"/>
  <c r="F21" i="24" s="1"/>
  <c r="P20" i="24"/>
  <c r="Q20" i="24" s="1"/>
  <c r="M20" i="24"/>
  <c r="N20" i="24" s="1"/>
  <c r="E20" i="24"/>
  <c r="F20" i="24" s="1"/>
  <c r="P19" i="24"/>
  <c r="Q19" i="24" s="1"/>
  <c r="M19" i="24"/>
  <c r="N19" i="24" s="1"/>
  <c r="E19" i="24"/>
  <c r="F19" i="24" s="1"/>
  <c r="P18" i="24"/>
  <c r="Q18" i="24" s="1"/>
  <c r="M18" i="24"/>
  <c r="N18" i="24" s="1"/>
  <c r="E18" i="24"/>
  <c r="F18" i="24" s="1"/>
  <c r="P17" i="24"/>
  <c r="Q17" i="24" s="1"/>
  <c r="M17" i="24"/>
  <c r="N17" i="24" s="1"/>
  <c r="E17" i="24"/>
  <c r="F17" i="24" s="1"/>
  <c r="P16" i="24"/>
  <c r="Q16" i="24" s="1"/>
  <c r="M16" i="24"/>
  <c r="N16" i="24" s="1"/>
  <c r="E16" i="24"/>
  <c r="F16" i="24" s="1"/>
  <c r="P15" i="24"/>
  <c r="Q15" i="24" s="1"/>
  <c r="M15" i="24"/>
  <c r="N15" i="24" s="1"/>
  <c r="E15" i="24"/>
  <c r="F15" i="24" s="1"/>
  <c r="P14" i="24"/>
  <c r="Q14" i="24" s="1"/>
  <c r="M14" i="24"/>
  <c r="N14" i="24" s="1"/>
  <c r="E14" i="24"/>
  <c r="F14" i="24" s="1"/>
  <c r="P13" i="24"/>
  <c r="Q13" i="24" s="1"/>
  <c r="M13" i="24"/>
  <c r="N13" i="24" s="1"/>
  <c r="E13" i="24"/>
  <c r="F13" i="24" s="1"/>
  <c r="P12" i="24"/>
  <c r="Q12" i="24" s="1"/>
  <c r="M12" i="24"/>
  <c r="N12" i="24" s="1"/>
  <c r="E12" i="24"/>
  <c r="F12" i="24" s="1"/>
  <c r="P11" i="24"/>
  <c r="Q11" i="24" s="1"/>
  <c r="M11" i="24"/>
  <c r="N11" i="24" s="1"/>
  <c r="E11" i="24"/>
  <c r="F11" i="24" s="1"/>
  <c r="P10" i="24"/>
  <c r="Q10" i="24" s="1"/>
  <c r="M10" i="24"/>
  <c r="N10" i="24" s="1"/>
  <c r="E10" i="24"/>
  <c r="F10" i="24" s="1"/>
  <c r="P9" i="24"/>
  <c r="Q9" i="24" s="1"/>
  <c r="M9" i="24"/>
  <c r="N9" i="24" s="1"/>
  <c r="E9" i="24"/>
  <c r="F9" i="24" s="1"/>
  <c r="P8" i="24"/>
  <c r="Q8" i="24" s="1"/>
  <c r="M8" i="24"/>
  <c r="N8" i="24" s="1"/>
  <c r="E8" i="24"/>
  <c r="F8" i="24" s="1"/>
  <c r="P7" i="24"/>
  <c r="Q7" i="24" s="1"/>
  <c r="M7" i="24"/>
  <c r="N7" i="24" s="1"/>
  <c r="E7" i="24"/>
  <c r="F7" i="24" s="1"/>
  <c r="P6" i="24"/>
  <c r="Q6" i="24" s="1"/>
  <c r="M6" i="24"/>
  <c r="N6" i="24" s="1"/>
  <c r="E6" i="24"/>
  <c r="F6" i="24" s="1"/>
  <c r="P5" i="24"/>
  <c r="Q5" i="24" s="1"/>
  <c r="M5" i="24"/>
  <c r="N5" i="24" s="1"/>
  <c r="E5" i="24"/>
  <c r="F5" i="24" s="1"/>
  <c r="P4" i="24"/>
  <c r="Q4" i="24" s="1"/>
  <c r="M4" i="24"/>
  <c r="N4" i="24" s="1"/>
  <c r="E4" i="24"/>
  <c r="F4" i="24" s="1"/>
  <c r="P3" i="24"/>
  <c r="Q3" i="24" s="1"/>
  <c r="M3" i="24"/>
  <c r="N3" i="24" s="1"/>
  <c r="E3" i="24"/>
  <c r="F3" i="24" s="1"/>
  <c r="P2" i="24"/>
  <c r="Q2" i="24" s="1"/>
  <c r="M2" i="24"/>
  <c r="N2" i="24" s="1"/>
  <c r="E2" i="24"/>
  <c r="F2" i="24" s="1"/>
  <c r="G20" i="21" l="1"/>
  <c r="B22" i="21"/>
  <c r="G20" i="19"/>
  <c r="B22" i="19"/>
  <c r="G20" i="20"/>
  <c r="B22" i="20"/>
  <c r="P46" i="24"/>
  <c r="Q46" i="24" s="1"/>
  <c r="D85" i="24"/>
  <c r="H85" i="24"/>
  <c r="C22" i="16"/>
  <c r="N36" i="24"/>
  <c r="P37" i="24"/>
  <c r="Q37" i="24" s="1"/>
  <c r="J80" i="24"/>
  <c r="P40" i="24"/>
  <c r="Q40" i="24" s="1"/>
  <c r="P41" i="24"/>
  <c r="Q41" i="24" s="1"/>
  <c r="E43" i="24"/>
  <c r="F43" i="24" s="1"/>
  <c r="N46" i="24"/>
  <c r="E47" i="24"/>
  <c r="F47" i="24" s="1"/>
  <c r="P47" i="24"/>
  <c r="Q47" i="24" s="1"/>
  <c r="F75" i="24"/>
  <c r="G80" i="24"/>
  <c r="K81" i="24"/>
  <c r="L81" i="24" s="1"/>
  <c r="G85" i="24"/>
  <c r="F90" i="24"/>
  <c r="L89" i="24"/>
  <c r="F21" i="17"/>
  <c r="F22" i="17" s="1"/>
  <c r="G20" i="16"/>
  <c r="B22" i="16"/>
  <c r="G19" i="16"/>
  <c r="F21" i="22"/>
  <c r="F22" i="22" s="1"/>
  <c r="C22" i="18"/>
  <c r="F21" i="18"/>
  <c r="G20" i="18" s="1"/>
  <c r="G21" i="22"/>
  <c r="G19" i="22"/>
  <c r="B22" i="22"/>
  <c r="G20" i="22"/>
  <c r="C22" i="22"/>
  <c r="F21" i="23"/>
  <c r="G18" i="19"/>
  <c r="E22" i="19"/>
  <c r="G19" i="19"/>
  <c r="G21" i="19"/>
  <c r="F22" i="19"/>
  <c r="C22" i="19"/>
  <c r="D22" i="19"/>
  <c r="G18" i="20"/>
  <c r="E22" i="20"/>
  <c r="G19" i="20"/>
  <c r="G21" i="20"/>
  <c r="F22" i="20"/>
  <c r="C22" i="20"/>
  <c r="D22" i="20"/>
  <c r="G18" i="21"/>
  <c r="E22" i="21"/>
  <c r="G19" i="21"/>
  <c r="G21" i="21"/>
  <c r="F22" i="21"/>
  <c r="C22" i="21"/>
  <c r="D22" i="21"/>
  <c r="G21" i="16"/>
  <c r="F22" i="16"/>
  <c r="E22" i="16"/>
  <c r="G21" i="17"/>
  <c r="C22" i="17"/>
  <c r="B22" i="17"/>
  <c r="G19" i="17"/>
  <c r="D22" i="17"/>
  <c r="H39" i="7"/>
  <c r="H42" i="7"/>
  <c r="H36" i="7"/>
  <c r="H35" i="7"/>
  <c r="H30" i="7"/>
  <c r="H37" i="7"/>
  <c r="H29" i="7"/>
  <c r="F64" i="7"/>
  <c r="G34" i="7" s="1"/>
  <c r="F64" i="8"/>
  <c r="D65" i="8" s="1"/>
  <c r="G51" i="7"/>
  <c r="G29" i="7"/>
  <c r="G59" i="7"/>
  <c r="G62" i="7"/>
  <c r="G52" i="7"/>
  <c r="I52" i="7" s="1"/>
  <c r="G31" i="7"/>
  <c r="G50" i="7"/>
  <c r="C65" i="7"/>
  <c r="G53" i="8"/>
  <c r="G22" i="8"/>
  <c r="G55" i="8"/>
  <c r="G41" i="8"/>
  <c r="G40" i="7"/>
  <c r="G24" i="7"/>
  <c r="G61" i="7"/>
  <c r="G64" i="7"/>
  <c r="F64" i="6"/>
  <c r="B65" i="6" s="1"/>
  <c r="F64" i="5"/>
  <c r="F64" i="4"/>
  <c r="B65" i="4" s="1"/>
  <c r="F64" i="3"/>
  <c r="F64" i="2"/>
  <c r="B65" i="2" s="1"/>
  <c r="F64" i="1"/>
  <c r="C75" i="24"/>
  <c r="K75" i="24" s="1"/>
  <c r="G75" i="24"/>
  <c r="G91" i="24" s="1"/>
  <c r="K74" i="24"/>
  <c r="L74" i="24" s="1"/>
  <c r="D80" i="24"/>
  <c r="K86" i="24"/>
  <c r="L86" i="24" s="1"/>
  <c r="C90" i="24"/>
  <c r="E75" i="24"/>
  <c r="I75" i="24"/>
  <c r="K83" i="24"/>
  <c r="L83" i="24" s="1"/>
  <c r="D75" i="24"/>
  <c r="H75" i="24"/>
  <c r="H91" i="24" s="1"/>
  <c r="C97" i="24"/>
  <c r="F80" i="24"/>
  <c r="F91" i="24" s="1"/>
  <c r="K79" i="24"/>
  <c r="L79" i="24" s="1"/>
  <c r="I85" i="24"/>
  <c r="K82" i="24"/>
  <c r="L82" i="24" s="1"/>
  <c r="D90" i="24"/>
  <c r="H90" i="24"/>
  <c r="J75" i="24"/>
  <c r="J96" i="24"/>
  <c r="J93" i="24"/>
  <c r="J94" i="24"/>
  <c r="K80" i="24"/>
  <c r="K77" i="24"/>
  <c r="L77" i="24" s="1"/>
  <c r="J90" i="24"/>
  <c r="K88" i="24"/>
  <c r="L88" i="24" s="1"/>
  <c r="L73" i="24"/>
  <c r="J85" i="24"/>
  <c r="K84" i="24"/>
  <c r="L84" i="24" s="1"/>
  <c r="J97" i="24"/>
  <c r="E85" i="24"/>
  <c r="P50" i="24"/>
  <c r="Q50" i="24" s="1"/>
  <c r="K76" i="24"/>
  <c r="L76" i="24" s="1"/>
  <c r="C85" i="24"/>
  <c r="E87" i="24"/>
  <c r="E90" i="24" s="1"/>
  <c r="C94" i="24"/>
  <c r="E40" i="24"/>
  <c r="F40" i="24" s="1"/>
  <c r="E41" i="24"/>
  <c r="F41" i="24" s="1"/>
  <c r="N50" i="24"/>
  <c r="K71" i="24"/>
  <c r="K72" i="24"/>
  <c r="C93" i="24"/>
  <c r="C96" i="24"/>
  <c r="P36" i="24"/>
  <c r="Q36" i="24" s="1"/>
  <c r="K85" i="24" l="1"/>
  <c r="D91" i="24"/>
  <c r="G32" i="7"/>
  <c r="G30" i="7"/>
  <c r="G45" i="7"/>
  <c r="G57" i="7"/>
  <c r="D65" i="7"/>
  <c r="G54" i="7"/>
  <c r="G28" i="7"/>
  <c r="G22" i="7"/>
  <c r="G19" i="7"/>
  <c r="G53" i="7"/>
  <c r="B65" i="7"/>
  <c r="G48" i="7"/>
  <c r="G20" i="17"/>
  <c r="E22" i="17"/>
  <c r="G18" i="17"/>
  <c r="D22" i="22"/>
  <c r="G18" i="22"/>
  <c r="E22" i="22"/>
  <c r="G21" i="18"/>
  <c r="F22" i="18"/>
  <c r="G19" i="18"/>
  <c r="G18" i="18"/>
  <c r="E22" i="18"/>
  <c r="D22" i="18"/>
  <c r="B22" i="18"/>
  <c r="G21" i="23"/>
  <c r="F22" i="23"/>
  <c r="G19" i="23"/>
  <c r="G18" i="23"/>
  <c r="E22" i="23"/>
  <c r="D22" i="23"/>
  <c r="B22" i="23"/>
  <c r="G20" i="23"/>
  <c r="C22" i="23"/>
  <c r="G23" i="7"/>
  <c r="F65" i="7"/>
  <c r="G26" i="7"/>
  <c r="G44" i="7"/>
  <c r="G56" i="7"/>
  <c r="G39" i="7"/>
  <c r="G33" i="7"/>
  <c r="I31" i="7" s="1"/>
  <c r="G58" i="7"/>
  <c r="G25" i="7"/>
  <c r="G42" i="7"/>
  <c r="G49" i="7"/>
  <c r="G21" i="7"/>
  <c r="G43" i="7"/>
  <c r="I43" i="7" s="1"/>
  <c r="G18" i="7"/>
  <c r="E65" i="7"/>
  <c r="G47" i="7"/>
  <c r="G46" i="7"/>
  <c r="G63" i="7"/>
  <c r="I63" i="7" s="1"/>
  <c r="G27" i="7"/>
  <c r="G41" i="7"/>
  <c r="G37" i="7"/>
  <c r="G35" i="7"/>
  <c r="I35" i="7" s="1"/>
  <c r="G55" i="7"/>
  <c r="G20" i="7"/>
  <c r="G36" i="7"/>
  <c r="G60" i="7"/>
  <c r="G38" i="7"/>
  <c r="G42" i="8"/>
  <c r="G28" i="8"/>
  <c r="G19" i="8"/>
  <c r="G58" i="8"/>
  <c r="G64" i="8"/>
  <c r="G30" i="8"/>
  <c r="G39" i="8"/>
  <c r="G54" i="8"/>
  <c r="E65" i="8"/>
  <c r="G35" i="8"/>
  <c r="I35" i="8" s="1"/>
  <c r="G49" i="8"/>
  <c r="G24" i="8"/>
  <c r="G48" i="8"/>
  <c r="G18" i="8"/>
  <c r="G40" i="8"/>
  <c r="G59" i="8"/>
  <c r="G32" i="8"/>
  <c r="B65" i="8"/>
  <c r="G45" i="8"/>
  <c r="G44" i="8"/>
  <c r="G62" i="8"/>
  <c r="G36" i="8"/>
  <c r="G56" i="8"/>
  <c r="G25" i="8"/>
  <c r="G52" i="8"/>
  <c r="I52" i="8" s="1"/>
  <c r="G31" i="8"/>
  <c r="C65" i="8"/>
  <c r="G37" i="8"/>
  <c r="G57" i="8"/>
  <c r="G33" i="8"/>
  <c r="G50" i="8"/>
  <c r="G23" i="8"/>
  <c r="G47" i="8"/>
  <c r="G26" i="8"/>
  <c r="G63" i="8"/>
  <c r="I63" i="8" s="1"/>
  <c r="G29" i="8"/>
  <c r="G51" i="8"/>
  <c r="G27" i="8"/>
  <c r="G43" i="8"/>
  <c r="I43" i="8" s="1"/>
  <c r="G34" i="8"/>
  <c r="G61" i="8"/>
  <c r="G38" i="8"/>
  <c r="G20" i="8"/>
  <c r="F65" i="8"/>
  <c r="G46" i="8"/>
  <c r="G60" i="8"/>
  <c r="G21" i="8"/>
  <c r="I28" i="7"/>
  <c r="I36" i="7"/>
  <c r="H44" i="7"/>
  <c r="I44" i="7"/>
  <c r="H45" i="7" s="1"/>
  <c r="I53" i="7"/>
  <c r="H57" i="7" s="1"/>
  <c r="F65" i="6"/>
  <c r="G64" i="6"/>
  <c r="G20" i="6"/>
  <c r="G51" i="6"/>
  <c r="G62" i="6"/>
  <c r="G30" i="6"/>
  <c r="G40" i="6"/>
  <c r="G44" i="6"/>
  <c r="G61" i="6"/>
  <c r="G25" i="6"/>
  <c r="G33" i="6"/>
  <c r="G47" i="6"/>
  <c r="E65" i="6"/>
  <c r="G49" i="6"/>
  <c r="D65" i="6"/>
  <c r="G32" i="6"/>
  <c r="G50" i="6"/>
  <c r="G27" i="6"/>
  <c r="G38" i="6"/>
  <c r="G34" i="6"/>
  <c r="G24" i="6"/>
  <c r="G53" i="6"/>
  <c r="C65" i="6"/>
  <c r="G31" i="6"/>
  <c r="G41" i="6"/>
  <c r="G45" i="6"/>
  <c r="G63" i="6"/>
  <c r="I63" i="6" s="1"/>
  <c r="G37" i="6"/>
  <c r="G52" i="6"/>
  <c r="I52" i="6" s="1"/>
  <c r="G23" i="6"/>
  <c r="G57" i="6"/>
  <c r="G19" i="6"/>
  <c r="G48" i="6"/>
  <c r="G59" i="6"/>
  <c r="G29" i="6"/>
  <c r="G39" i="6"/>
  <c r="G43" i="6"/>
  <c r="I43" i="6" s="1"/>
  <c r="G56" i="6"/>
  <c r="G22" i="6"/>
  <c r="G28" i="6"/>
  <c r="G46" i="6"/>
  <c r="G58" i="6"/>
  <c r="G36" i="6"/>
  <c r="G35" i="6"/>
  <c r="I35" i="6" s="1"/>
  <c r="G54" i="6"/>
  <c r="G21" i="6"/>
  <c r="G42" i="6"/>
  <c r="G18" i="6"/>
  <c r="G55" i="6"/>
  <c r="G60" i="6"/>
  <c r="G26" i="6"/>
  <c r="F65" i="5"/>
  <c r="G64" i="5"/>
  <c r="G35" i="5"/>
  <c r="I35" i="5" s="1"/>
  <c r="G58" i="5"/>
  <c r="G34" i="5"/>
  <c r="G55" i="5"/>
  <c r="G21" i="5"/>
  <c r="G32" i="5"/>
  <c r="G48" i="5"/>
  <c r="G62" i="5"/>
  <c r="G25" i="5"/>
  <c r="G33" i="5"/>
  <c r="G43" i="5"/>
  <c r="I43" i="5" s="1"/>
  <c r="G56" i="5"/>
  <c r="G23" i="5"/>
  <c r="G52" i="5"/>
  <c r="I52" i="5" s="1"/>
  <c r="G20" i="5"/>
  <c r="G49" i="5"/>
  <c r="E65" i="5"/>
  <c r="G31" i="5"/>
  <c r="G44" i="5"/>
  <c r="G57" i="5"/>
  <c r="G24" i="5"/>
  <c r="G28" i="5"/>
  <c r="G40" i="5"/>
  <c r="G53" i="5"/>
  <c r="B65" i="5"/>
  <c r="G19" i="5"/>
  <c r="G47" i="5"/>
  <c r="G45" i="5"/>
  <c r="G63" i="5"/>
  <c r="I63" i="5" s="1"/>
  <c r="G30" i="5"/>
  <c r="G42" i="5"/>
  <c r="G54" i="5"/>
  <c r="G22" i="5"/>
  <c r="G27" i="5"/>
  <c r="G38" i="5"/>
  <c r="G50" i="5"/>
  <c r="G18" i="5"/>
  <c r="G41" i="5"/>
  <c r="G61" i="5"/>
  <c r="G39" i="5"/>
  <c r="G60" i="5"/>
  <c r="G29" i="5"/>
  <c r="G37" i="5"/>
  <c r="G51" i="5"/>
  <c r="D65" i="5"/>
  <c r="G26" i="5"/>
  <c r="G36" i="5"/>
  <c r="I36" i="5" s="1"/>
  <c r="G46" i="5"/>
  <c r="G59" i="5"/>
  <c r="C65" i="5"/>
  <c r="F65" i="4"/>
  <c r="G64" i="4"/>
  <c r="G28" i="4"/>
  <c r="G41" i="4"/>
  <c r="G63" i="4"/>
  <c r="I63" i="4" s="1"/>
  <c r="G31" i="4"/>
  <c r="G52" i="4"/>
  <c r="I52" i="4" s="1"/>
  <c r="G62" i="4"/>
  <c r="G24" i="4"/>
  <c r="G46" i="4"/>
  <c r="G61" i="4"/>
  <c r="G33" i="4"/>
  <c r="G43" i="4"/>
  <c r="I43" i="4" s="1"/>
  <c r="G56" i="4"/>
  <c r="G35" i="4"/>
  <c r="I35" i="4" s="1"/>
  <c r="G48" i="4"/>
  <c r="G22" i="4"/>
  <c r="G57" i="4"/>
  <c r="G40" i="4"/>
  <c r="G26" i="4"/>
  <c r="G23" i="4"/>
  <c r="G32" i="4"/>
  <c r="G55" i="4"/>
  <c r="G20" i="4"/>
  <c r="G39" i="4"/>
  <c r="G54" i="4"/>
  <c r="G19" i="4"/>
  <c r="G37" i="4"/>
  <c r="G51" i="4"/>
  <c r="G21" i="4"/>
  <c r="G38" i="4"/>
  <c r="G45" i="4"/>
  <c r="E65" i="4"/>
  <c r="G30" i="4"/>
  <c r="G49" i="4"/>
  <c r="D65" i="4"/>
  <c r="G34" i="4"/>
  <c r="G53" i="4"/>
  <c r="C65" i="4"/>
  <c r="G29" i="4"/>
  <c r="G47" i="4"/>
  <c r="G18" i="4"/>
  <c r="G36" i="4"/>
  <c r="G44" i="4"/>
  <c r="G60" i="4"/>
  <c r="G25" i="4"/>
  <c r="G59" i="4"/>
  <c r="G58" i="4"/>
  <c r="G42" i="4"/>
  <c r="G27" i="4"/>
  <c r="G50" i="4"/>
  <c r="F65" i="3"/>
  <c r="G64" i="3"/>
  <c r="G25" i="3"/>
  <c r="G33" i="3"/>
  <c r="G55" i="3"/>
  <c r="G19" i="3"/>
  <c r="G40" i="3"/>
  <c r="G44" i="3"/>
  <c r="G56" i="3"/>
  <c r="G34" i="3"/>
  <c r="G61" i="3"/>
  <c r="G30" i="3"/>
  <c r="G48" i="3"/>
  <c r="G58" i="3"/>
  <c r="G28" i="3"/>
  <c r="G39" i="3"/>
  <c r="G50" i="3"/>
  <c r="G57" i="3"/>
  <c r="G54" i="3"/>
  <c r="G49" i="3"/>
  <c r="G22" i="3"/>
  <c r="G27" i="3"/>
  <c r="G38" i="3"/>
  <c r="G63" i="3"/>
  <c r="I63" i="3" s="1"/>
  <c r="G35" i="3"/>
  <c r="I35" i="3" s="1"/>
  <c r="G42" i="3"/>
  <c r="G46" i="3"/>
  <c r="G62" i="3"/>
  <c r="G51" i="3"/>
  <c r="G21" i="3"/>
  <c r="G32" i="3"/>
  <c r="G53" i="3"/>
  <c r="D65" i="3"/>
  <c r="G26" i="3"/>
  <c r="G36" i="3"/>
  <c r="G59" i="3"/>
  <c r="G23" i="3"/>
  <c r="G41" i="3"/>
  <c r="G45" i="3"/>
  <c r="G60" i="3"/>
  <c r="G47" i="3"/>
  <c r="E65" i="3"/>
  <c r="G31" i="3"/>
  <c r="G52" i="3"/>
  <c r="I52" i="3" s="1"/>
  <c r="G24" i="3"/>
  <c r="G18" i="3"/>
  <c r="G43" i="3"/>
  <c r="I43" i="3" s="1"/>
  <c r="G20" i="3"/>
  <c r="G29" i="3"/>
  <c r="G37" i="3"/>
  <c r="B65" i="3"/>
  <c r="C65" i="3"/>
  <c r="F65" i="2"/>
  <c r="G64" i="2"/>
  <c r="G24" i="2"/>
  <c r="G44" i="2"/>
  <c r="G59" i="2"/>
  <c r="G27" i="2"/>
  <c r="G40" i="2"/>
  <c r="G54" i="2"/>
  <c r="G23" i="2"/>
  <c r="G32" i="2"/>
  <c r="G47" i="2"/>
  <c r="D65" i="2"/>
  <c r="G34" i="2"/>
  <c r="G58" i="2"/>
  <c r="G42" i="2"/>
  <c r="G46" i="2"/>
  <c r="G31" i="2"/>
  <c r="G45" i="2"/>
  <c r="G19" i="2"/>
  <c r="G37" i="2"/>
  <c r="G51" i="2"/>
  <c r="G18" i="2"/>
  <c r="G36" i="2"/>
  <c r="G50" i="2"/>
  <c r="G62" i="2"/>
  <c r="G28" i="2"/>
  <c r="G41" i="2"/>
  <c r="G57" i="2"/>
  <c r="G26" i="2"/>
  <c r="C65" i="2"/>
  <c r="G29" i="2"/>
  <c r="G48" i="2"/>
  <c r="G63" i="2"/>
  <c r="I63" i="2" s="1"/>
  <c r="G33" i="2"/>
  <c r="G43" i="2"/>
  <c r="I43" i="2" s="1"/>
  <c r="G56" i="2"/>
  <c r="G25" i="2"/>
  <c r="G35" i="2"/>
  <c r="I35" i="2" s="1"/>
  <c r="G52" i="2"/>
  <c r="I52" i="2" s="1"/>
  <c r="G20" i="2"/>
  <c r="G39" i="2"/>
  <c r="G60" i="2"/>
  <c r="G22" i="2"/>
  <c r="G55" i="2"/>
  <c r="G21" i="2"/>
  <c r="G38" i="2"/>
  <c r="G53" i="2"/>
  <c r="E65" i="2"/>
  <c r="G30" i="2"/>
  <c r="G61" i="2"/>
  <c r="G49" i="2"/>
  <c r="F65" i="1"/>
  <c r="G64" i="1"/>
  <c r="G42" i="1"/>
  <c r="G24" i="1"/>
  <c r="G41" i="1"/>
  <c r="G63" i="1"/>
  <c r="I63" i="1" s="1"/>
  <c r="G25" i="1"/>
  <c r="G46" i="1"/>
  <c r="G61" i="1"/>
  <c r="G40" i="1"/>
  <c r="G53" i="1"/>
  <c r="G29" i="1"/>
  <c r="G39" i="1"/>
  <c r="G58" i="1"/>
  <c r="G23" i="1"/>
  <c r="G55" i="1"/>
  <c r="G33" i="1"/>
  <c r="G45" i="1"/>
  <c r="G32" i="1"/>
  <c r="E65" i="1"/>
  <c r="G44" i="1"/>
  <c r="G26" i="1"/>
  <c r="G49" i="1"/>
  <c r="G60" i="1"/>
  <c r="G27" i="1"/>
  <c r="G47" i="1"/>
  <c r="G19" i="1"/>
  <c r="G43" i="1"/>
  <c r="I43" i="1" s="1"/>
  <c r="G56" i="1"/>
  <c r="G31" i="1"/>
  <c r="G48" i="1"/>
  <c r="G34" i="1"/>
  <c r="G20" i="1"/>
  <c r="G35" i="1"/>
  <c r="I35" i="1" s="1"/>
  <c r="G59" i="1"/>
  <c r="G22" i="1"/>
  <c r="G37" i="1"/>
  <c r="G57" i="1"/>
  <c r="G38" i="1"/>
  <c r="G52" i="1"/>
  <c r="I52" i="1" s="1"/>
  <c r="G21" i="1"/>
  <c r="G36" i="1"/>
  <c r="G54" i="1"/>
  <c r="G62" i="1"/>
  <c r="G28" i="1"/>
  <c r="D65" i="1"/>
  <c r="G51" i="1"/>
  <c r="G30" i="1"/>
  <c r="C65" i="1"/>
  <c r="G50" i="1"/>
  <c r="B65" i="1"/>
  <c r="G18" i="1"/>
  <c r="K90" i="24"/>
  <c r="I91" i="24"/>
  <c r="E91" i="24"/>
  <c r="K96" i="24"/>
  <c r="L95" i="24"/>
  <c r="K93" i="24"/>
  <c r="M95" i="24"/>
  <c r="L93" i="24"/>
  <c r="M93" i="24"/>
  <c r="L71" i="24"/>
  <c r="K94" i="24"/>
  <c r="J91" i="24"/>
  <c r="K97" i="24"/>
  <c r="L72" i="24"/>
  <c r="L94" i="24"/>
  <c r="M94" i="24"/>
  <c r="C91" i="24"/>
  <c r="I18" i="7" l="1"/>
  <c r="I23" i="8"/>
  <c r="I38" i="7"/>
  <c r="I46" i="7"/>
  <c r="I23" i="7"/>
  <c r="I36" i="2"/>
  <c r="H32" i="7"/>
  <c r="H34" i="7"/>
  <c r="H22" i="7"/>
  <c r="H20" i="7"/>
  <c r="H19" i="7"/>
  <c r="I31" i="8"/>
  <c r="H31" i="8" s="1"/>
  <c r="I53" i="8"/>
  <c r="H61" i="8" s="1"/>
  <c r="I46" i="8"/>
  <c r="H46" i="8" s="1"/>
  <c r="I38" i="8"/>
  <c r="I28" i="3"/>
  <c r="I36" i="4"/>
  <c r="I38" i="4"/>
  <c r="H53" i="8"/>
  <c r="H58" i="8"/>
  <c r="I18" i="8"/>
  <c r="H18" i="8" s="1"/>
  <c r="I36" i="8"/>
  <c r="I28" i="8"/>
  <c r="I44" i="8"/>
  <c r="H44" i="8" s="1"/>
  <c r="H33" i="7"/>
  <c r="H31" i="7"/>
  <c r="I38" i="2"/>
  <c r="I28" i="2"/>
  <c r="I36" i="1"/>
  <c r="I38" i="1"/>
  <c r="I23" i="1"/>
  <c r="I64" i="7"/>
  <c r="H47" i="8"/>
  <c r="H56" i="8"/>
  <c r="H59" i="8"/>
  <c r="H46" i="7"/>
  <c r="H50" i="7"/>
  <c r="H48" i="7"/>
  <c r="H51" i="7"/>
  <c r="H49" i="7"/>
  <c r="H47" i="7"/>
  <c r="H55" i="7"/>
  <c r="H54" i="7"/>
  <c r="H58" i="7"/>
  <c r="H62" i="7"/>
  <c r="H53" i="7"/>
  <c r="H60" i="7"/>
  <c r="H59" i="7"/>
  <c r="H61" i="7"/>
  <c r="H56" i="7"/>
  <c r="I46" i="6"/>
  <c r="H48" i="6" s="1"/>
  <c r="I23" i="6"/>
  <c r="I36" i="6"/>
  <c r="I38" i="6"/>
  <c r="I53" i="6"/>
  <c r="H62" i="6" s="1"/>
  <c r="I18" i="6"/>
  <c r="I31" i="6"/>
  <c r="H33" i="6" s="1"/>
  <c r="I44" i="6"/>
  <c r="H44" i="6" s="1"/>
  <c r="H54" i="6"/>
  <c r="H49" i="6"/>
  <c r="I28" i="6"/>
  <c r="H32" i="6"/>
  <c r="I53" i="5"/>
  <c r="H59" i="5" s="1"/>
  <c r="I18" i="5"/>
  <c r="H18" i="5" s="1"/>
  <c r="I44" i="5"/>
  <c r="H45" i="5" s="1"/>
  <c r="I38" i="5"/>
  <c r="I46" i="5"/>
  <c r="H50" i="5" s="1"/>
  <c r="H31" i="5"/>
  <c r="I31" i="5"/>
  <c r="H33" i="5" s="1"/>
  <c r="I23" i="5"/>
  <c r="I28" i="5"/>
  <c r="H32" i="5"/>
  <c r="I18" i="4"/>
  <c r="H18" i="4" s="1"/>
  <c r="I53" i="4"/>
  <c r="H55" i="4" s="1"/>
  <c r="I44" i="4"/>
  <c r="H44" i="4" s="1"/>
  <c r="H59" i="4"/>
  <c r="I28" i="4"/>
  <c r="I23" i="4"/>
  <c r="I46" i="4"/>
  <c r="H50" i="4" s="1"/>
  <c r="I31" i="4"/>
  <c r="H33" i="4" s="1"/>
  <c r="I31" i="3"/>
  <c r="H31" i="3" s="1"/>
  <c r="I53" i="3"/>
  <c r="H60" i="3" s="1"/>
  <c r="I44" i="3"/>
  <c r="H44" i="3" s="1"/>
  <c r="I36" i="3"/>
  <c r="I38" i="3"/>
  <c r="H54" i="3"/>
  <c r="H62" i="3"/>
  <c r="I23" i="3"/>
  <c r="I18" i="3"/>
  <c r="H18" i="3" s="1"/>
  <c r="I46" i="3"/>
  <c r="H46" i="3" s="1"/>
  <c r="I18" i="2"/>
  <c r="H22" i="2" s="1"/>
  <c r="I53" i="2"/>
  <c r="H55" i="2" s="1"/>
  <c r="I46" i="2"/>
  <c r="H46" i="2" s="1"/>
  <c r="I44" i="2"/>
  <c r="H44" i="2" s="1"/>
  <c r="I31" i="2"/>
  <c r="H31" i="2" s="1"/>
  <c r="H45" i="2"/>
  <c r="H20" i="2"/>
  <c r="I23" i="2"/>
  <c r="I18" i="1"/>
  <c r="H46" i="1"/>
  <c r="I46" i="1"/>
  <c r="H50" i="1" s="1"/>
  <c r="I44" i="1"/>
  <c r="H44" i="1" s="1"/>
  <c r="H19" i="1"/>
  <c r="H49" i="1"/>
  <c r="I28" i="1"/>
  <c r="H21" i="1"/>
  <c r="I31" i="1"/>
  <c r="H33" i="1" s="1"/>
  <c r="I53" i="1"/>
  <c r="H59" i="1" s="1"/>
  <c r="K91" i="24"/>
  <c r="H55" i="6" l="1"/>
  <c r="H61" i="1"/>
  <c r="H53" i="1"/>
  <c r="H31" i="1"/>
  <c r="H34" i="1"/>
  <c r="H50" i="2"/>
  <c r="H56" i="4"/>
  <c r="H47" i="4"/>
  <c r="H61" i="4"/>
  <c r="H59" i="6"/>
  <c r="H18" i="7"/>
  <c r="H21" i="7"/>
  <c r="H56" i="2"/>
  <c r="H47" i="1"/>
  <c r="H34" i="8"/>
  <c r="H57" i="8"/>
  <c r="H60" i="8"/>
  <c r="H49" i="8"/>
  <c r="H55" i="8"/>
  <c r="H54" i="8"/>
  <c r="H60" i="6"/>
  <c r="H56" i="6"/>
  <c r="H57" i="6"/>
  <c r="H22" i="5"/>
  <c r="H53" i="3"/>
  <c r="H58" i="3"/>
  <c r="H61" i="3"/>
  <c r="H45" i="4"/>
  <c r="H21" i="4"/>
  <c r="H32" i="8"/>
  <c r="H33" i="8"/>
  <c r="H62" i="8"/>
  <c r="H51" i="8"/>
  <c r="H50" i="8"/>
  <c r="H48" i="8"/>
  <c r="H51" i="2"/>
  <c r="H53" i="2"/>
  <c r="H58" i="2"/>
  <c r="H21" i="5"/>
  <c r="H58" i="6"/>
  <c r="H53" i="6"/>
  <c r="I64" i="6"/>
  <c r="H22" i="4"/>
  <c r="H20" i="4"/>
  <c r="H49" i="4"/>
  <c r="H48" i="4"/>
  <c r="H48" i="1"/>
  <c r="H57" i="1"/>
  <c r="H20" i="8"/>
  <c r="H21" i="8"/>
  <c r="H22" i="8"/>
  <c r="H19" i="8"/>
  <c r="I64" i="8"/>
  <c r="H45" i="8"/>
  <c r="H64" i="7"/>
  <c r="H31" i="6"/>
  <c r="H19" i="5"/>
  <c r="H20" i="5"/>
  <c r="H51" i="5"/>
  <c r="H56" i="5"/>
  <c r="H48" i="5"/>
  <c r="H49" i="5"/>
  <c r="H56" i="3"/>
  <c r="H59" i="3"/>
  <c r="H60" i="4"/>
  <c r="H54" i="4"/>
  <c r="H53" i="4"/>
  <c r="H31" i="4"/>
  <c r="H51" i="1"/>
  <c r="H21" i="6"/>
  <c r="H47" i="6"/>
  <c r="H34" i="6"/>
  <c r="H45" i="6"/>
  <c r="H61" i="6"/>
  <c r="H18" i="6"/>
  <c r="H46" i="6"/>
  <c r="H20" i="6"/>
  <c r="H22" i="6"/>
  <c r="H51" i="6"/>
  <c r="H19" i="6"/>
  <c r="H50" i="6"/>
  <c r="H61" i="5"/>
  <c r="H34" i="5"/>
  <c r="H62" i="5"/>
  <c r="H57" i="5"/>
  <c r="H54" i="5"/>
  <c r="H44" i="5"/>
  <c r="H53" i="5"/>
  <c r="H58" i="5"/>
  <c r="H55" i="5"/>
  <c r="H60" i="5"/>
  <c r="H46" i="5"/>
  <c r="H47" i="5"/>
  <c r="I64" i="5"/>
  <c r="H32" i="4"/>
  <c r="H46" i="4"/>
  <c r="H34" i="4"/>
  <c r="H58" i="4"/>
  <c r="H19" i="4"/>
  <c r="H57" i="4"/>
  <c r="H51" i="4"/>
  <c r="H62" i="4"/>
  <c r="I64" i="4"/>
  <c r="H60" i="2"/>
  <c r="H54" i="2"/>
  <c r="H61" i="2"/>
  <c r="H50" i="3"/>
  <c r="H47" i="3"/>
  <c r="H45" i="3"/>
  <c r="H34" i="3"/>
  <c r="I64" i="3"/>
  <c r="H48" i="3"/>
  <c r="H19" i="3"/>
  <c r="H21" i="3"/>
  <c r="H51" i="3"/>
  <c r="H49" i="3"/>
  <c r="H20" i="3"/>
  <c r="H32" i="3"/>
  <c r="H57" i="3"/>
  <c r="H55" i="3"/>
  <c r="H22" i="3"/>
  <c r="H33" i="3"/>
  <c r="I64" i="2"/>
  <c r="H34" i="2"/>
  <c r="H19" i="2"/>
  <c r="H21" i="2"/>
  <c r="H48" i="2"/>
  <c r="H47" i="2"/>
  <c r="H32" i="2"/>
  <c r="H59" i="2"/>
  <c r="H62" i="2"/>
  <c r="H57" i="2"/>
  <c r="H49" i="2"/>
  <c r="H33" i="2"/>
  <c r="H18" i="2"/>
  <c r="I64" i="1"/>
  <c r="H20" i="1"/>
  <c r="H60" i="1"/>
  <c r="H45" i="1"/>
  <c r="H56" i="1"/>
  <c r="H55" i="1"/>
  <c r="H62" i="1"/>
  <c r="H54" i="1"/>
  <c r="H32" i="1"/>
  <c r="H58" i="1"/>
  <c r="H22" i="1"/>
  <c r="H18" i="1"/>
  <c r="H64" i="8" l="1"/>
  <c r="H64" i="5"/>
  <c r="H64" i="3"/>
  <c r="H64" i="4"/>
  <c r="H64" i="1"/>
  <c r="H64" i="6"/>
  <c r="H64" i="2"/>
  <c r="J1" i="15" l="1"/>
  <c r="I1" i="15"/>
  <c r="H1" i="15"/>
  <c r="G1" i="15"/>
  <c r="F1" i="15"/>
  <c r="E1" i="15"/>
  <c r="D1" i="15"/>
  <c r="C1" i="15"/>
  <c r="Q1" i="9"/>
  <c r="O1" i="9"/>
  <c r="O55" i="9" s="1"/>
  <c r="M1" i="9"/>
  <c r="K1" i="9"/>
  <c r="I1" i="9"/>
  <c r="G1" i="9"/>
  <c r="E1" i="9"/>
  <c r="C1" i="9"/>
  <c r="B2" i="15" l="1"/>
  <c r="F23" i="9" l="1"/>
  <c r="F61" i="9" s="1"/>
  <c r="J23" i="9"/>
  <c r="J61" i="9" s="1"/>
  <c r="N23" i="9"/>
  <c r="N61" i="9" s="1"/>
  <c r="R23" i="9"/>
  <c r="R61" i="9" s="1"/>
  <c r="H23" i="9"/>
  <c r="H61" i="9" s="1"/>
  <c r="L23" i="9"/>
  <c r="L61" i="9" s="1"/>
  <c r="P23" i="9"/>
  <c r="P61" i="9" s="1"/>
  <c r="H12" i="9"/>
  <c r="L12" i="9"/>
  <c r="P12" i="9"/>
  <c r="H13" i="9"/>
  <c r="L13" i="9"/>
  <c r="P13" i="9"/>
  <c r="H14" i="9"/>
  <c r="L14" i="9"/>
  <c r="P14" i="9"/>
  <c r="H11" i="9"/>
  <c r="L11" i="9"/>
  <c r="P11" i="9"/>
  <c r="H15" i="9"/>
  <c r="L15" i="9"/>
  <c r="P15" i="9"/>
  <c r="H16" i="9"/>
  <c r="L16" i="9"/>
  <c r="P16" i="9"/>
  <c r="H17" i="9"/>
  <c r="L17" i="9"/>
  <c r="P17" i="9"/>
  <c r="H18" i="9"/>
  <c r="L18" i="9"/>
  <c r="P18" i="9"/>
  <c r="H27" i="9"/>
  <c r="L27" i="9"/>
  <c r="P27" i="9"/>
  <c r="H28" i="9"/>
  <c r="L28" i="9"/>
  <c r="P28" i="9"/>
  <c r="F12" i="9"/>
  <c r="J12" i="9"/>
  <c r="N12" i="9"/>
  <c r="R12" i="9"/>
  <c r="F13" i="9"/>
  <c r="J13" i="9"/>
  <c r="N13" i="9"/>
  <c r="R13" i="9"/>
  <c r="F14" i="9"/>
  <c r="J14" i="9"/>
  <c r="N14" i="9"/>
  <c r="R14" i="9"/>
  <c r="F11" i="9"/>
  <c r="J11" i="9"/>
  <c r="N11" i="9"/>
  <c r="R11" i="9"/>
  <c r="F15" i="9"/>
  <c r="J15" i="9"/>
  <c r="N15" i="9"/>
  <c r="R15" i="9"/>
  <c r="F16" i="9"/>
  <c r="J16" i="9"/>
  <c r="N16" i="9"/>
  <c r="R16" i="9"/>
  <c r="F17" i="9"/>
  <c r="J17" i="9"/>
  <c r="N17" i="9"/>
  <c r="R17" i="9"/>
  <c r="F18" i="9"/>
  <c r="J18" i="9"/>
  <c r="N18" i="9"/>
  <c r="R18" i="9"/>
  <c r="F27" i="9"/>
  <c r="J27" i="9"/>
  <c r="N27" i="9"/>
  <c r="R27" i="9"/>
  <c r="F28" i="9"/>
  <c r="J28" i="9"/>
  <c r="N28" i="9"/>
  <c r="R28" i="9"/>
  <c r="F24" i="9"/>
  <c r="H24" i="9"/>
  <c r="J24" i="9"/>
  <c r="L24" i="9"/>
  <c r="N24" i="9"/>
  <c r="P24" i="9"/>
  <c r="R24" i="9"/>
  <c r="F25" i="9"/>
  <c r="H25" i="9"/>
  <c r="J25" i="9"/>
  <c r="L25" i="9"/>
  <c r="N25" i="9"/>
  <c r="P25" i="9"/>
  <c r="R25" i="9"/>
  <c r="F26" i="9"/>
  <c r="H26" i="9"/>
  <c r="J26" i="9"/>
  <c r="L26" i="9"/>
  <c r="N26" i="9"/>
  <c r="P26" i="9"/>
  <c r="R26" i="9"/>
  <c r="F29" i="9"/>
  <c r="H29" i="9"/>
  <c r="J29" i="9"/>
  <c r="L29" i="9"/>
  <c r="N29" i="9"/>
  <c r="P29" i="9"/>
  <c r="R29" i="9"/>
  <c r="F30" i="9"/>
  <c r="H30" i="9"/>
  <c r="J30" i="9"/>
  <c r="L30" i="9"/>
  <c r="N30" i="9"/>
  <c r="P30" i="9"/>
  <c r="R30" i="9"/>
  <c r="F31" i="9"/>
  <c r="H31" i="9"/>
  <c r="H64" i="9" s="1"/>
  <c r="J31" i="9"/>
  <c r="J64" i="9" s="1"/>
  <c r="L31" i="9"/>
  <c r="L64" i="9" s="1"/>
  <c r="N31" i="9"/>
  <c r="N64" i="9" s="1"/>
  <c r="P31" i="9"/>
  <c r="P64" i="9" s="1"/>
  <c r="R31" i="9"/>
  <c r="R64" i="9" s="1"/>
  <c r="F40" i="9"/>
  <c r="H40" i="9"/>
  <c r="H67" i="9" s="1"/>
  <c r="J40" i="9"/>
  <c r="J67" i="9" s="1"/>
  <c r="L40" i="9"/>
  <c r="N40" i="9"/>
  <c r="N67" i="9" s="1"/>
  <c r="P40" i="9"/>
  <c r="P67" i="9" s="1"/>
  <c r="R40" i="9"/>
  <c r="R67" i="9" s="1"/>
  <c r="F51" i="9"/>
  <c r="F69" i="9" s="1"/>
  <c r="H51" i="9"/>
  <c r="H69" i="9" s="1"/>
  <c r="J51" i="9"/>
  <c r="J69" i="9" s="1"/>
  <c r="L51" i="9"/>
  <c r="L69" i="9" s="1"/>
  <c r="N51" i="9"/>
  <c r="N69" i="9" s="1"/>
  <c r="P51" i="9"/>
  <c r="P69" i="9" s="1"/>
  <c r="R51" i="9"/>
  <c r="R69" i="9" s="1"/>
  <c r="J2" i="15"/>
  <c r="I2" i="15"/>
  <c r="H2" i="15"/>
  <c r="F2" i="15"/>
  <c r="E2" i="15"/>
  <c r="D2" i="15"/>
  <c r="O2" i="9"/>
  <c r="M2" i="9"/>
  <c r="K3" i="9"/>
  <c r="K2" i="9"/>
  <c r="G2" i="9"/>
  <c r="E2" i="9"/>
  <c r="C2" i="9"/>
  <c r="C197" i="9"/>
  <c r="B193" i="9"/>
  <c r="B194" i="9"/>
  <c r="B195" i="9"/>
  <c r="B196" i="9"/>
  <c r="B192" i="9"/>
  <c r="B184" i="9"/>
  <c r="B183" i="9"/>
  <c r="A183" i="9"/>
  <c r="A178" i="9"/>
  <c r="A176" i="9"/>
  <c r="E53" i="9"/>
  <c r="F53" i="9"/>
  <c r="P49" i="9"/>
  <c r="P48" i="9"/>
  <c r="P50" i="9"/>
  <c r="P45" i="9"/>
  <c r="P44" i="9"/>
  <c r="P46" i="9"/>
  <c r="P47" i="9"/>
  <c r="P42" i="9"/>
  <c r="P43" i="9"/>
  <c r="P41" i="9"/>
  <c r="O3" i="9"/>
  <c r="Q3" i="9"/>
  <c r="Q2" i="9"/>
  <c r="M3" i="9"/>
  <c r="I3" i="9"/>
  <c r="I2" i="9"/>
  <c r="G3" i="9"/>
  <c r="E3" i="9"/>
  <c r="C3" i="9"/>
  <c r="J3" i="15"/>
  <c r="I3" i="15"/>
  <c r="H3" i="15"/>
  <c r="G3" i="15"/>
  <c r="F3" i="15"/>
  <c r="E3" i="15"/>
  <c r="D3" i="15"/>
  <c r="C3" i="15"/>
  <c r="G55" i="9"/>
  <c r="A181" i="9"/>
  <c r="B180" i="9"/>
  <c r="B179" i="9"/>
  <c r="B177" i="9"/>
  <c r="B176" i="9"/>
  <c r="B174" i="9"/>
  <c r="A174" i="9"/>
  <c r="A169" i="9"/>
  <c r="B168" i="9"/>
  <c r="A168" i="9"/>
  <c r="B130" i="9"/>
  <c r="B129" i="9"/>
  <c r="Q55" i="9"/>
  <c r="M55" i="9"/>
  <c r="K55" i="9"/>
  <c r="I55" i="9"/>
  <c r="E55" i="9"/>
  <c r="C55" i="9"/>
  <c r="H62" i="9" l="1"/>
  <c r="R62" i="9"/>
  <c r="N59" i="9"/>
  <c r="J62" i="9"/>
  <c r="H63" i="9"/>
  <c r="U3" i="9"/>
  <c r="P58" i="9"/>
  <c r="W3" i="9"/>
  <c r="L59" i="9"/>
  <c r="R58" i="9"/>
  <c r="P68" i="9"/>
  <c r="V25" i="9"/>
  <c r="D177" i="9" s="1"/>
  <c r="V24" i="9"/>
  <c r="D176" i="9" s="1"/>
  <c r="V29" i="9"/>
  <c r="D179" i="9" s="1"/>
  <c r="F63" i="9"/>
  <c r="S3" i="9"/>
  <c r="F62" i="9"/>
  <c r="N62" i="9"/>
  <c r="L62" i="9"/>
  <c r="R59" i="9"/>
  <c r="P59" i="9"/>
  <c r="M3" i="15"/>
  <c r="P62" i="9"/>
  <c r="J58" i="9"/>
  <c r="J95" i="9"/>
  <c r="J221" i="9" s="1"/>
  <c r="J7" i="15"/>
  <c r="I95" i="9"/>
  <c r="I221" i="9" s="1"/>
  <c r="J6" i="15"/>
  <c r="V31" i="9"/>
  <c r="D181" i="9" s="1"/>
  <c r="H58" i="9"/>
  <c r="K95" i="9"/>
  <c r="L2" i="15"/>
  <c r="L63" i="9"/>
  <c r="V13" i="9"/>
  <c r="D127" i="9" s="1"/>
  <c r="V23" i="9"/>
  <c r="D144" i="9" s="1"/>
  <c r="R63" i="9"/>
  <c r="V18" i="9"/>
  <c r="D133" i="9" s="1"/>
  <c r="P63" i="9"/>
  <c r="N58" i="9"/>
  <c r="L58" i="9"/>
  <c r="L103" i="9"/>
  <c r="K103" i="9"/>
  <c r="I103" i="9"/>
  <c r="S2" i="9"/>
  <c r="W2" i="9"/>
  <c r="J103" i="9"/>
  <c r="J229" i="9" s="1"/>
  <c r="K3" i="15"/>
  <c r="L3" i="15"/>
  <c r="U2" i="9"/>
  <c r="F64" i="9"/>
  <c r="F67" i="9"/>
  <c r="V40" i="9"/>
  <c r="L95" i="9"/>
  <c r="V51" i="9"/>
  <c r="L67" i="9"/>
  <c r="V30" i="9"/>
  <c r="D180" i="9" s="1"/>
  <c r="N63" i="9"/>
  <c r="V26" i="9"/>
  <c r="V11" i="9"/>
  <c r="F58" i="9"/>
  <c r="J59" i="9"/>
  <c r="J63" i="9"/>
  <c r="V12" i="9"/>
  <c r="D126" i="9" s="1"/>
  <c r="C2" i="15"/>
  <c r="D8" i="15"/>
  <c r="J8" i="15"/>
  <c r="V28" i="9"/>
  <c r="D137" i="9" s="1"/>
  <c r="V27" i="9"/>
  <c r="D136" i="9" s="1"/>
  <c r="H59" i="9"/>
  <c r="G2" i="15"/>
  <c r="V17" i="9"/>
  <c r="D132" i="9" s="1"/>
  <c r="F59" i="9"/>
  <c r="V16" i="9"/>
  <c r="V15" i="9"/>
  <c r="D130" i="9" s="1"/>
  <c r="V14" i="9"/>
  <c r="D128" i="9" s="1"/>
  <c r="L96" i="9" l="1"/>
  <c r="J112" i="9" s="1"/>
  <c r="L222" i="9" s="1"/>
  <c r="I93" i="9"/>
  <c r="V95" i="9"/>
  <c r="V103" i="9"/>
  <c r="V62" i="9"/>
  <c r="J9" i="15"/>
  <c r="K97" i="9"/>
  <c r="K223" i="9" s="1"/>
  <c r="K96" i="9"/>
  <c r="V61" i="9"/>
  <c r="I111" i="9"/>
  <c r="V64" i="9"/>
  <c r="S95" i="9"/>
  <c r="J96" i="9"/>
  <c r="J222" i="9" s="1"/>
  <c r="I96" i="9"/>
  <c r="S96" i="9" s="1"/>
  <c r="H111" i="9"/>
  <c r="P95" i="9"/>
  <c r="D7" i="15"/>
  <c r="K221" i="9"/>
  <c r="Q95" i="9"/>
  <c r="H7" i="15"/>
  <c r="H8" i="15"/>
  <c r="C12" i="9"/>
  <c r="C28" i="9"/>
  <c r="C18" i="9"/>
  <c r="C14" i="9"/>
  <c r="D131" i="9"/>
  <c r="V59" i="9"/>
  <c r="L97" i="9"/>
  <c r="I97" i="9"/>
  <c r="L92" i="9"/>
  <c r="Z58" i="9"/>
  <c r="J92" i="9"/>
  <c r="J218" i="9" s="1"/>
  <c r="K92" i="9"/>
  <c r="I92" i="9"/>
  <c r="C25" i="9"/>
  <c r="G6" i="15"/>
  <c r="M2" i="15"/>
  <c r="K2" i="15"/>
  <c r="C30" i="9"/>
  <c r="V69" i="9"/>
  <c r="D186" i="9"/>
  <c r="S103" i="9"/>
  <c r="H119" i="9"/>
  <c r="I119" i="9"/>
  <c r="I229" i="9"/>
  <c r="P103" i="9"/>
  <c r="C27" i="9"/>
  <c r="D185" i="9"/>
  <c r="V67" i="9"/>
  <c r="C15" i="9"/>
  <c r="Q103" i="9"/>
  <c r="K229" i="9"/>
  <c r="K101" i="9"/>
  <c r="I101" i="9"/>
  <c r="L101" i="9"/>
  <c r="J101" i="9"/>
  <c r="J227" i="9" s="1"/>
  <c r="G7" i="15"/>
  <c r="D6" i="15"/>
  <c r="C17" i="9"/>
  <c r="J93" i="9"/>
  <c r="J219" i="9" s="1"/>
  <c r="K93" i="9"/>
  <c r="L93" i="9"/>
  <c r="H6" i="15"/>
  <c r="C8" i="15"/>
  <c r="F6" i="15"/>
  <c r="D129" i="9"/>
  <c r="V58" i="9"/>
  <c r="D178" i="9"/>
  <c r="V63" i="9"/>
  <c r="J111" i="9"/>
  <c r="L221" i="9" s="1"/>
  <c r="M95" i="9"/>
  <c r="C29" i="9"/>
  <c r="K98" i="9"/>
  <c r="J98" i="9"/>
  <c r="J224" i="9" s="1"/>
  <c r="I98" i="9"/>
  <c r="L98" i="9"/>
  <c r="C13" i="9"/>
  <c r="M103" i="9"/>
  <c r="J119" i="9"/>
  <c r="L229" i="9" s="1"/>
  <c r="J97" i="9"/>
  <c r="J223" i="9" s="1"/>
  <c r="H112" i="9" l="1"/>
  <c r="L6" i="15"/>
  <c r="Q97" i="9"/>
  <c r="V98" i="9"/>
  <c r="V92" i="9"/>
  <c r="V93" i="9"/>
  <c r="V101" i="9"/>
  <c r="K111" i="9"/>
  <c r="M221" i="9" s="1"/>
  <c r="K222" i="9"/>
  <c r="V96" i="9"/>
  <c r="V97" i="9"/>
  <c r="M96" i="9"/>
  <c r="P96" i="9"/>
  <c r="Q96" i="9"/>
  <c r="I112" i="9"/>
  <c r="I222" i="9"/>
  <c r="H9" i="15"/>
  <c r="C6" i="15"/>
  <c r="M46" i="9"/>
  <c r="G8" i="15"/>
  <c r="G9" i="15" s="1"/>
  <c r="K119" i="9"/>
  <c r="L119" i="9" s="1"/>
  <c r="N229" i="9" s="1"/>
  <c r="K39" i="9"/>
  <c r="G6" i="9"/>
  <c r="J114" i="9"/>
  <c r="L224" i="9" s="1"/>
  <c r="M98" i="9"/>
  <c r="C7" i="9"/>
  <c r="I6" i="9"/>
  <c r="K224" i="9"/>
  <c r="Q98" i="9"/>
  <c r="C9" i="9"/>
  <c r="Q93" i="9"/>
  <c r="K219" i="9"/>
  <c r="S93" i="9"/>
  <c r="P93" i="9"/>
  <c r="I219" i="9"/>
  <c r="H109" i="9"/>
  <c r="I109" i="9"/>
  <c r="J117" i="9"/>
  <c r="L227" i="9" s="1"/>
  <c r="M101" i="9"/>
  <c r="C24" i="9"/>
  <c r="M47" i="9"/>
  <c r="I13" i="9"/>
  <c r="I29" i="9"/>
  <c r="I12" i="9"/>
  <c r="I27" i="9"/>
  <c r="I17" i="9"/>
  <c r="I28" i="9"/>
  <c r="I18" i="9"/>
  <c r="I25" i="9"/>
  <c r="I14" i="9"/>
  <c r="I30" i="9"/>
  <c r="I15" i="9"/>
  <c r="F7" i="15"/>
  <c r="L7" i="15" s="1"/>
  <c r="Q6" i="9"/>
  <c r="M30" i="9"/>
  <c r="M18" i="9"/>
  <c r="M13" i="9"/>
  <c r="M17" i="9"/>
  <c r="M25" i="9"/>
  <c r="M14" i="9"/>
  <c r="M27" i="9"/>
  <c r="M12" i="9"/>
  <c r="M28" i="9"/>
  <c r="M29" i="9"/>
  <c r="M15" i="9"/>
  <c r="I108" i="9"/>
  <c r="H108" i="9"/>
  <c r="S92" i="9"/>
  <c r="P92" i="9"/>
  <c r="I218" i="9"/>
  <c r="J108" i="9"/>
  <c r="L218" i="9" s="1"/>
  <c r="M92" i="9"/>
  <c r="C8" i="9"/>
  <c r="C48" i="9"/>
  <c r="Q13" i="9"/>
  <c r="Q27" i="9"/>
  <c r="Q15" i="9"/>
  <c r="Q14" i="9"/>
  <c r="Q17" i="9"/>
  <c r="Q18" i="9"/>
  <c r="Q29" i="9"/>
  <c r="Q30" i="9"/>
  <c r="Q12" i="9"/>
  <c r="Q28" i="9"/>
  <c r="Q25" i="9"/>
  <c r="C45" i="9"/>
  <c r="C51" i="9"/>
  <c r="C43" i="9"/>
  <c r="E6" i="15"/>
  <c r="E7" i="15"/>
  <c r="C39" i="9"/>
  <c r="C22" i="9"/>
  <c r="C20" i="9"/>
  <c r="D9" i="15"/>
  <c r="C35" i="9"/>
  <c r="C47" i="9"/>
  <c r="O28" i="9"/>
  <c r="O29" i="9"/>
  <c r="O44" i="9"/>
  <c r="O43" i="9"/>
  <c r="O13" i="9"/>
  <c r="O46" i="9"/>
  <c r="O47" i="9"/>
  <c r="O15" i="9"/>
  <c r="O48" i="9"/>
  <c r="O12" i="9"/>
  <c r="O17" i="9"/>
  <c r="O25" i="9"/>
  <c r="O50" i="9"/>
  <c r="O42" i="9"/>
  <c r="O45" i="9"/>
  <c r="O18" i="9"/>
  <c r="O27" i="9"/>
  <c r="O49" i="9"/>
  <c r="O14" i="9"/>
  <c r="O30" i="9"/>
  <c r="C44" i="9"/>
  <c r="I7" i="15"/>
  <c r="I6" i="15"/>
  <c r="I8" i="15"/>
  <c r="C10" i="9"/>
  <c r="Q92" i="9"/>
  <c r="K218" i="9"/>
  <c r="C41" i="9"/>
  <c r="C40" i="9"/>
  <c r="S98" i="9"/>
  <c r="I224" i="9"/>
  <c r="H114" i="9"/>
  <c r="P98" i="9"/>
  <c r="I114" i="9"/>
  <c r="C46" i="9"/>
  <c r="I117" i="9"/>
  <c r="H117" i="9"/>
  <c r="P101" i="9"/>
  <c r="S101" i="9"/>
  <c r="I227" i="9"/>
  <c r="G25" i="9"/>
  <c r="G15" i="9"/>
  <c r="G27" i="9"/>
  <c r="G28" i="9"/>
  <c r="G29" i="9"/>
  <c r="G12" i="9"/>
  <c r="G30" i="9"/>
  <c r="G17" i="9"/>
  <c r="G13" i="9"/>
  <c r="G14" i="9"/>
  <c r="G18" i="9"/>
  <c r="K30" i="9"/>
  <c r="K25" i="9"/>
  <c r="K28" i="9"/>
  <c r="K15" i="9"/>
  <c r="K27" i="9"/>
  <c r="K17" i="9"/>
  <c r="K12" i="9"/>
  <c r="K18" i="9"/>
  <c r="K29" i="9"/>
  <c r="K14" i="9"/>
  <c r="K13" i="9"/>
  <c r="C49" i="9"/>
  <c r="Q42" i="9"/>
  <c r="C11" i="9"/>
  <c r="C50" i="9"/>
  <c r="C23" i="9"/>
  <c r="O6" i="9"/>
  <c r="E14" i="9"/>
  <c r="E30" i="9"/>
  <c r="E17" i="9"/>
  <c r="E13" i="9"/>
  <c r="E18" i="9"/>
  <c r="E15" i="9"/>
  <c r="E29" i="9"/>
  <c r="E25" i="9"/>
  <c r="E28" i="9"/>
  <c r="E12" i="9"/>
  <c r="E27" i="9"/>
  <c r="I223" i="9"/>
  <c r="H113" i="9"/>
  <c r="S97" i="9"/>
  <c r="I113" i="9"/>
  <c r="P97" i="9"/>
  <c r="C38" i="9"/>
  <c r="C16" i="9"/>
  <c r="C34" i="9"/>
  <c r="C36" i="9"/>
  <c r="M93" i="9"/>
  <c r="J109" i="9"/>
  <c r="L219" i="9" s="1"/>
  <c r="C31" i="9"/>
  <c r="K227" i="9"/>
  <c r="Q101" i="9"/>
  <c r="C42" i="9"/>
  <c r="C21" i="9"/>
  <c r="C6" i="9"/>
  <c r="E8" i="15"/>
  <c r="C33" i="9"/>
  <c r="C7" i="15"/>
  <c r="J113" i="9"/>
  <c r="L223" i="9" s="1"/>
  <c r="M97" i="9"/>
  <c r="F8" i="15"/>
  <c r="L8" i="15" s="1"/>
  <c r="C37" i="9"/>
  <c r="C19" i="9"/>
  <c r="C26" i="9"/>
  <c r="C32" i="9"/>
  <c r="K112" i="9" l="1"/>
  <c r="M222" i="9" s="1"/>
  <c r="U28" i="9"/>
  <c r="K6" i="15"/>
  <c r="L111" i="9"/>
  <c r="N221" i="9" s="1"/>
  <c r="K117" i="9"/>
  <c r="L117" i="9" s="1"/>
  <c r="N227" i="9" s="1"/>
  <c r="S14" i="9"/>
  <c r="M229" i="9"/>
  <c r="U17" i="9"/>
  <c r="W17" i="9"/>
  <c r="C52" i="9"/>
  <c r="U14" i="9"/>
  <c r="W29" i="9"/>
  <c r="W15" i="9"/>
  <c r="M6" i="15"/>
  <c r="S13" i="9"/>
  <c r="U29" i="9"/>
  <c r="S18" i="9"/>
  <c r="S30" i="9"/>
  <c r="K114" i="9"/>
  <c r="L114" i="9" s="1"/>
  <c r="N224" i="9" s="1"/>
  <c r="S25" i="9"/>
  <c r="U15" i="9"/>
  <c r="U13" i="9"/>
  <c r="W28" i="9"/>
  <c r="W13" i="9"/>
  <c r="S12" i="9"/>
  <c r="W27" i="9"/>
  <c r="W25" i="9"/>
  <c r="K8" i="15"/>
  <c r="W18" i="9"/>
  <c r="W30" i="9"/>
  <c r="W14" i="9"/>
  <c r="S29" i="9"/>
  <c r="M8" i="15"/>
  <c r="J43" i="9"/>
  <c r="I41" i="9"/>
  <c r="M42" i="9"/>
  <c r="E31" i="9"/>
  <c r="E23" i="9"/>
  <c r="E24" i="9"/>
  <c r="E11" i="9"/>
  <c r="E38" i="9"/>
  <c r="F7" i="9"/>
  <c r="E6" i="9"/>
  <c r="K24" i="9"/>
  <c r="K62" i="9" s="1"/>
  <c r="K33" i="9"/>
  <c r="L39" i="9"/>
  <c r="K34" i="9"/>
  <c r="G33" i="9"/>
  <c r="H41" i="9"/>
  <c r="G41" i="9"/>
  <c r="H34" i="9"/>
  <c r="G34" i="9"/>
  <c r="G21" i="9"/>
  <c r="G40" i="9"/>
  <c r="G67" i="9" s="1"/>
  <c r="G36" i="9"/>
  <c r="F9" i="15"/>
  <c r="C68" i="9"/>
  <c r="R42" i="9"/>
  <c r="Q41" i="9"/>
  <c r="O37" i="9"/>
  <c r="O24" i="9"/>
  <c r="O62" i="9" s="1"/>
  <c r="O16" i="9"/>
  <c r="O59" i="9" s="1"/>
  <c r="O36" i="9"/>
  <c r="O8" i="9"/>
  <c r="P8" i="9"/>
  <c r="Q50" i="9"/>
  <c r="Q37" i="9"/>
  <c r="Q7" i="9"/>
  <c r="Q48" i="9"/>
  <c r="Q16" i="9"/>
  <c r="Q59" i="9" s="1"/>
  <c r="Q26" i="9"/>
  <c r="Q63" i="9" s="1"/>
  <c r="Q8" i="9"/>
  <c r="M37" i="9"/>
  <c r="M23" i="9"/>
  <c r="M61" i="9" s="1"/>
  <c r="M7" i="9"/>
  <c r="I38" i="9"/>
  <c r="I23" i="9"/>
  <c r="I61" i="9" s="1"/>
  <c r="J21" i="9"/>
  <c r="I19" i="9"/>
  <c r="J32" i="9"/>
  <c r="I32" i="9"/>
  <c r="C60" i="9"/>
  <c r="L19" i="9"/>
  <c r="K19" i="9"/>
  <c r="M7" i="15"/>
  <c r="K7" i="15"/>
  <c r="C57" i="9"/>
  <c r="Q46" i="9"/>
  <c r="C64" i="9"/>
  <c r="U27" i="9"/>
  <c r="E48" i="9"/>
  <c r="F38" i="9"/>
  <c r="E34" i="9"/>
  <c r="K20" i="9"/>
  <c r="K47" i="9"/>
  <c r="K51" i="9"/>
  <c r="K69" i="9" s="1"/>
  <c r="K45" i="9"/>
  <c r="G47" i="9"/>
  <c r="C67" i="9"/>
  <c r="Q45" i="9"/>
  <c r="E50" i="9"/>
  <c r="O22" i="9"/>
  <c r="O41" i="9"/>
  <c r="O68" i="9" s="1"/>
  <c r="O26" i="9"/>
  <c r="O63" i="9" s="1"/>
  <c r="P9" i="9"/>
  <c r="O9" i="9"/>
  <c r="R32" i="9"/>
  <c r="Q32" i="9"/>
  <c r="Q24" i="9"/>
  <c r="Q62" i="9" s="1"/>
  <c r="Q36" i="9"/>
  <c r="C63" i="9"/>
  <c r="M41" i="9"/>
  <c r="K9" i="9"/>
  <c r="S15" i="9"/>
  <c r="E46" i="9"/>
  <c r="K113" i="9"/>
  <c r="E45" i="9"/>
  <c r="E35" i="9"/>
  <c r="E33" i="9"/>
  <c r="E36" i="9"/>
  <c r="E7" i="9"/>
  <c r="E16" i="9"/>
  <c r="E26" i="9"/>
  <c r="E47" i="9"/>
  <c r="F20" i="9"/>
  <c r="E19" i="9"/>
  <c r="C61" i="9"/>
  <c r="C58" i="9"/>
  <c r="K38" i="9"/>
  <c r="K46" i="9"/>
  <c r="K8" i="9"/>
  <c r="L22" i="9"/>
  <c r="K22" i="9"/>
  <c r="K48" i="9"/>
  <c r="K37" i="9"/>
  <c r="K26" i="9"/>
  <c r="K63" i="9" s="1"/>
  <c r="K36" i="9"/>
  <c r="G42" i="9"/>
  <c r="G48" i="9"/>
  <c r="G10" i="9"/>
  <c r="G46" i="9"/>
  <c r="G22" i="9"/>
  <c r="G9" i="9"/>
  <c r="G38" i="9"/>
  <c r="G16" i="9"/>
  <c r="G59" i="9" s="1"/>
  <c r="G23" i="9"/>
  <c r="G61" i="9" s="1"/>
  <c r="O35" i="9"/>
  <c r="O38" i="9"/>
  <c r="O21" i="9"/>
  <c r="O33" i="9"/>
  <c r="O11" i="9"/>
  <c r="O58" i="9" s="1"/>
  <c r="O51" i="9"/>
  <c r="O69" i="9" s="1"/>
  <c r="O19" i="9"/>
  <c r="P20" i="9"/>
  <c r="C69" i="9"/>
  <c r="Q49" i="9"/>
  <c r="Q51" i="9"/>
  <c r="Q69" i="9" s="1"/>
  <c r="Q40" i="9"/>
  <c r="Q67" i="9" s="1"/>
  <c r="Q39" i="9"/>
  <c r="Q31" i="9"/>
  <c r="Q64" i="9" s="1"/>
  <c r="R20" i="9"/>
  <c r="Q19" i="9"/>
  <c r="Q11" i="9"/>
  <c r="Q58" i="9" s="1"/>
  <c r="K108" i="9"/>
  <c r="M20" i="9"/>
  <c r="N9" i="9"/>
  <c r="M6" i="9"/>
  <c r="M39" i="9"/>
  <c r="M22" i="9"/>
  <c r="M48" i="9"/>
  <c r="M16" i="9"/>
  <c r="M59" i="9" s="1"/>
  <c r="N37" i="9"/>
  <c r="M34" i="9"/>
  <c r="M36" i="9"/>
  <c r="M45" i="9"/>
  <c r="I11" i="9"/>
  <c r="I58" i="9" s="1"/>
  <c r="I20" i="9"/>
  <c r="I37" i="9"/>
  <c r="I7" i="9"/>
  <c r="I9" i="9"/>
  <c r="I43" i="9"/>
  <c r="I16" i="9"/>
  <c r="I59" i="9" s="1"/>
  <c r="I21" i="9"/>
  <c r="I45" i="9"/>
  <c r="I44" i="9"/>
  <c r="S27" i="9"/>
  <c r="G8" i="9"/>
  <c r="F8" i="9"/>
  <c r="E8" i="9"/>
  <c r="E39" i="9"/>
  <c r="E22" i="9"/>
  <c r="K7" i="9"/>
  <c r="K10" i="9"/>
  <c r="L21" i="9"/>
  <c r="K21" i="9"/>
  <c r="K40" i="9"/>
  <c r="K67" i="9" s="1"/>
  <c r="K43" i="9"/>
  <c r="G24" i="9"/>
  <c r="G62" i="9" s="1"/>
  <c r="G39" i="9"/>
  <c r="G45" i="9"/>
  <c r="G49" i="9"/>
  <c r="O39" i="9"/>
  <c r="P10" i="9"/>
  <c r="O10" i="9"/>
  <c r="Q35" i="9"/>
  <c r="Q33" i="9"/>
  <c r="R37" i="9"/>
  <c r="Q34" i="9"/>
  <c r="M33" i="9"/>
  <c r="M24" i="9"/>
  <c r="M62" i="9" s="1"/>
  <c r="M21" i="9"/>
  <c r="M44" i="9"/>
  <c r="I10" i="9"/>
  <c r="I47" i="9"/>
  <c r="I35" i="9"/>
  <c r="I33" i="9"/>
  <c r="I24" i="9"/>
  <c r="I62" i="9" s="1"/>
  <c r="W12" i="9"/>
  <c r="F48" i="9"/>
  <c r="E41" i="9"/>
  <c r="E37" i="9"/>
  <c r="E40" i="9"/>
  <c r="U25" i="9"/>
  <c r="F32" i="9"/>
  <c r="E32" i="9"/>
  <c r="F44" i="9"/>
  <c r="E44" i="9"/>
  <c r="L43" i="9"/>
  <c r="K41" i="9"/>
  <c r="G50" i="9"/>
  <c r="G20" i="9"/>
  <c r="G37" i="9"/>
  <c r="G7" i="9"/>
  <c r="G51" i="9"/>
  <c r="G69" i="9" s="1"/>
  <c r="P7" i="9"/>
  <c r="O7" i="9"/>
  <c r="O23" i="9"/>
  <c r="O61" i="9" s="1"/>
  <c r="O40" i="9"/>
  <c r="O67" i="9" s="1"/>
  <c r="Q43" i="9"/>
  <c r="Q47" i="9"/>
  <c r="Q20" i="9"/>
  <c r="M8" i="9"/>
  <c r="M40" i="9"/>
  <c r="M67" i="9" s="1"/>
  <c r="M26" i="9"/>
  <c r="M63" i="9" s="1"/>
  <c r="M31" i="9"/>
  <c r="M64" i="9" s="1"/>
  <c r="M43" i="9"/>
  <c r="M19" i="9"/>
  <c r="N20" i="9"/>
  <c r="R7" i="9"/>
  <c r="I36" i="9"/>
  <c r="I51" i="9"/>
  <c r="I69" i="9" s="1"/>
  <c r="I39" i="9"/>
  <c r="I40" i="9"/>
  <c r="I67" i="9" s="1"/>
  <c r="J36" i="9"/>
  <c r="I34" i="9"/>
  <c r="I26" i="9"/>
  <c r="I63" i="9" s="1"/>
  <c r="I48" i="9"/>
  <c r="C62" i="9"/>
  <c r="E42" i="9"/>
  <c r="S17" i="9"/>
  <c r="K109" i="9"/>
  <c r="H10" i="9"/>
  <c r="C65" i="9"/>
  <c r="L112" i="9"/>
  <c r="N222" i="9" s="1"/>
  <c r="M50" i="9"/>
  <c r="K44" i="9"/>
  <c r="C66" i="9"/>
  <c r="C59" i="9"/>
  <c r="K42" i="9"/>
  <c r="E43" i="9"/>
  <c r="F10" i="9"/>
  <c r="E10" i="9"/>
  <c r="U12" i="9"/>
  <c r="E20" i="9"/>
  <c r="F49" i="9"/>
  <c r="E49" i="9"/>
  <c r="U18" i="9"/>
  <c r="U30" i="9"/>
  <c r="E9" i="9"/>
  <c r="F9" i="9"/>
  <c r="E21" i="9"/>
  <c r="K35" i="9"/>
  <c r="K49" i="9"/>
  <c r="K31" i="9"/>
  <c r="K64" i="9" s="1"/>
  <c r="K11" i="9"/>
  <c r="K58" i="9" s="1"/>
  <c r="K23" i="9"/>
  <c r="K61" i="9" s="1"/>
  <c r="L8" i="9"/>
  <c r="K6" i="9"/>
  <c r="K16" i="9"/>
  <c r="K59" i="9" s="1"/>
  <c r="L32" i="9"/>
  <c r="K32" i="9"/>
  <c r="G44" i="9"/>
  <c r="G43" i="9"/>
  <c r="G32" i="9"/>
  <c r="G65" i="9" s="1"/>
  <c r="H32" i="9"/>
  <c r="G26" i="9"/>
  <c r="G63" i="9" s="1"/>
  <c r="G11" i="9"/>
  <c r="G58" i="9" s="1"/>
  <c r="H35" i="9"/>
  <c r="G35" i="9"/>
  <c r="G31" i="9"/>
  <c r="G64" i="9" s="1"/>
  <c r="H20" i="9"/>
  <c r="G19" i="9"/>
  <c r="S28" i="9"/>
  <c r="I9" i="15"/>
  <c r="O20" i="9"/>
  <c r="P36" i="9"/>
  <c r="O34" i="9"/>
  <c r="O31" i="9"/>
  <c r="O64" i="9" s="1"/>
  <c r="O32" i="9"/>
  <c r="P33" i="9"/>
  <c r="L9" i="15"/>
  <c r="C9" i="15"/>
  <c r="E9" i="15"/>
  <c r="R10" i="9"/>
  <c r="Q10" i="9"/>
  <c r="R21" i="9"/>
  <c r="Q21" i="9"/>
  <c r="R9" i="9"/>
  <c r="Q9" i="9"/>
  <c r="Q23" i="9"/>
  <c r="Q61" i="9" s="1"/>
  <c r="R22" i="9"/>
  <c r="Q22" i="9"/>
  <c r="Q38" i="9"/>
  <c r="R44" i="9"/>
  <c r="Q44" i="9"/>
  <c r="M49" i="9"/>
  <c r="M10" i="9"/>
  <c r="M35" i="9"/>
  <c r="M51" i="9"/>
  <c r="M69" i="9" s="1"/>
  <c r="M11" i="9"/>
  <c r="M58" i="9" s="1"/>
  <c r="M38" i="9"/>
  <c r="N33" i="9"/>
  <c r="M32" i="9"/>
  <c r="M9" i="9"/>
  <c r="I31" i="9"/>
  <c r="I64" i="9" s="1"/>
  <c r="I8" i="9"/>
  <c r="I46" i="9"/>
  <c r="I49" i="9"/>
  <c r="J22" i="9"/>
  <c r="I22" i="9"/>
  <c r="I42" i="9"/>
  <c r="J50" i="9"/>
  <c r="I50" i="9"/>
  <c r="E51" i="9"/>
  <c r="L50" i="9"/>
  <c r="K50" i="9"/>
  <c r="J9" i="9"/>
  <c r="O65" i="9" l="1"/>
  <c r="W48" i="9"/>
  <c r="W19" i="9"/>
  <c r="W42" i="9"/>
  <c r="W46" i="9"/>
  <c r="W47" i="9"/>
  <c r="M227" i="9"/>
  <c r="N6" i="15"/>
  <c r="W8" i="9"/>
  <c r="S24" i="9"/>
  <c r="S62" i="9" s="1"/>
  <c r="Q57" i="9"/>
  <c r="O52" i="9"/>
  <c r="W39" i="9"/>
  <c r="M224" i="9"/>
  <c r="Y14" i="9"/>
  <c r="S7" i="9"/>
  <c r="Y13" i="9"/>
  <c r="E52" i="9"/>
  <c r="L36" i="9"/>
  <c r="L20" i="9"/>
  <c r="G52" i="9"/>
  <c r="K65" i="9"/>
  <c r="K52" i="9"/>
  <c r="F41" i="9"/>
  <c r="L10" i="9"/>
  <c r="S22" i="9"/>
  <c r="W9" i="9"/>
  <c r="N7" i="15"/>
  <c r="J38" i="9"/>
  <c r="N8" i="15"/>
  <c r="Y30" i="9"/>
  <c r="Y27" i="9"/>
  <c r="Y28" i="9"/>
  <c r="Y15" i="9"/>
  <c r="Y17" i="9"/>
  <c r="I52" i="9"/>
  <c r="Y29" i="9"/>
  <c r="Q52" i="9"/>
  <c r="L37" i="9"/>
  <c r="K9" i="15"/>
  <c r="O57" i="9"/>
  <c r="Y25" i="9"/>
  <c r="N32" i="9"/>
  <c r="V32" i="9" s="1"/>
  <c r="F43" i="9"/>
  <c r="F42" i="9"/>
  <c r="M60" i="9"/>
  <c r="Y12" i="9"/>
  <c r="W49" i="9"/>
  <c r="M52" i="9"/>
  <c r="W33" i="9"/>
  <c r="Y18" i="9"/>
  <c r="J46" i="9"/>
  <c r="F37" i="9"/>
  <c r="R34" i="9"/>
  <c r="J45" i="9"/>
  <c r="S50" i="9"/>
  <c r="F34" i="9"/>
  <c r="W21" i="9"/>
  <c r="J41" i="9"/>
  <c r="P34" i="9"/>
  <c r="W35" i="9"/>
  <c r="J48" i="9"/>
  <c r="G57" i="9"/>
  <c r="J47" i="9"/>
  <c r="R33" i="9"/>
  <c r="R65" i="9" s="1"/>
  <c r="J44" i="9"/>
  <c r="R49" i="9"/>
  <c r="L38" i="9"/>
  <c r="F45" i="9"/>
  <c r="F46" i="9"/>
  <c r="P37" i="9"/>
  <c r="L34" i="9"/>
  <c r="L33" i="9"/>
  <c r="L65" i="9" s="1"/>
  <c r="S37" i="9"/>
  <c r="R35" i="9"/>
  <c r="F35" i="9"/>
  <c r="J42" i="9"/>
  <c r="J49" i="9"/>
  <c r="M65" i="9"/>
  <c r="N38" i="9"/>
  <c r="R38" i="9"/>
  <c r="I66" i="9"/>
  <c r="W50" i="9"/>
  <c r="W45" i="9"/>
  <c r="F39" i="9"/>
  <c r="F36" i="9"/>
  <c r="P32" i="9"/>
  <c r="P65" i="9" s="1"/>
  <c r="S20" i="9"/>
  <c r="W22" i="9"/>
  <c r="R8" i="9"/>
  <c r="S42" i="9"/>
  <c r="L35" i="9"/>
  <c r="S36" i="9"/>
  <c r="N19" i="9"/>
  <c r="R47" i="9"/>
  <c r="H7" i="9"/>
  <c r="S47" i="9"/>
  <c r="I57" i="9"/>
  <c r="R19" i="9"/>
  <c r="R60" i="9" s="1"/>
  <c r="R39" i="9"/>
  <c r="P38" i="9"/>
  <c r="W38" i="9"/>
  <c r="W36" i="9"/>
  <c r="W37" i="9"/>
  <c r="S26" i="9"/>
  <c r="S63" i="9" s="1"/>
  <c r="F50" i="9"/>
  <c r="R46" i="9"/>
  <c r="M9" i="15"/>
  <c r="G66" i="9"/>
  <c r="S10" i="9"/>
  <c r="W44" i="9"/>
  <c r="F33" i="9"/>
  <c r="F65" i="9" s="1"/>
  <c r="S35" i="9"/>
  <c r="W43" i="9"/>
  <c r="U9" i="9"/>
  <c r="L42" i="9"/>
  <c r="L44" i="9"/>
  <c r="R43" i="9"/>
  <c r="W20" i="9"/>
  <c r="W10" i="9"/>
  <c r="S44" i="9"/>
  <c r="J20" i="9"/>
  <c r="V20" i="9" s="1"/>
  <c r="D174" i="9" s="1"/>
  <c r="N22" i="9"/>
  <c r="W51" i="9"/>
  <c r="H9" i="9"/>
  <c r="S48" i="9"/>
  <c r="S11" i="9"/>
  <c r="S58" i="9" s="1"/>
  <c r="R45" i="9"/>
  <c r="S8" i="9"/>
  <c r="W32" i="9"/>
  <c r="L109" i="9"/>
  <c r="N219" i="9" s="1"/>
  <c r="M219" i="9"/>
  <c r="U39" i="9"/>
  <c r="Q60" i="9"/>
  <c r="S23" i="9"/>
  <c r="S61" i="9" s="1"/>
  <c r="U7" i="9"/>
  <c r="U45" i="9"/>
  <c r="U46" i="9"/>
  <c r="N46" i="9"/>
  <c r="N47" i="9"/>
  <c r="S40" i="9"/>
  <c r="S67" i="9" s="1"/>
  <c r="S31" i="9"/>
  <c r="S64" i="9" s="1"/>
  <c r="C70" i="9"/>
  <c r="S43" i="9"/>
  <c r="U38" i="9"/>
  <c r="E69" i="9"/>
  <c r="U51" i="9"/>
  <c r="U69" i="9" s="1"/>
  <c r="S45" i="9"/>
  <c r="O66" i="9"/>
  <c r="H43" i="9"/>
  <c r="S34" i="9"/>
  <c r="S32" i="9"/>
  <c r="W24" i="9"/>
  <c r="E65" i="9"/>
  <c r="U32" i="9"/>
  <c r="E68" i="9"/>
  <c r="U41" i="9"/>
  <c r="H46" i="9"/>
  <c r="L46" i="9"/>
  <c r="W23" i="9"/>
  <c r="F19" i="9"/>
  <c r="P22" i="9"/>
  <c r="L45" i="9"/>
  <c r="W31" i="9"/>
  <c r="W7" i="9"/>
  <c r="J8" i="9"/>
  <c r="N49" i="9"/>
  <c r="H19" i="9"/>
  <c r="H44" i="9"/>
  <c r="L6" i="9"/>
  <c r="L49" i="9"/>
  <c r="V9" i="9"/>
  <c r="D172" i="9" s="1"/>
  <c r="U49" i="9"/>
  <c r="S16" i="9"/>
  <c r="S59" i="9" s="1"/>
  <c r="W34" i="9"/>
  <c r="N50" i="9"/>
  <c r="J34" i="9"/>
  <c r="N43" i="9"/>
  <c r="N8" i="9"/>
  <c r="H37" i="9"/>
  <c r="H50" i="9"/>
  <c r="U44" i="9"/>
  <c r="U37" i="9"/>
  <c r="J35" i="9"/>
  <c r="J10" i="9"/>
  <c r="N21" i="9"/>
  <c r="P39" i="9"/>
  <c r="S46" i="9"/>
  <c r="H49" i="9"/>
  <c r="H39" i="9"/>
  <c r="L7" i="9"/>
  <c r="F22" i="9"/>
  <c r="S9" i="9"/>
  <c r="J37" i="9"/>
  <c r="N36" i="9"/>
  <c r="M57" i="9"/>
  <c r="S51" i="9"/>
  <c r="S69" i="9" s="1"/>
  <c r="P19" i="9"/>
  <c r="P21" i="9"/>
  <c r="P35" i="9"/>
  <c r="H38" i="9"/>
  <c r="H22" i="9"/>
  <c r="H42" i="9"/>
  <c r="L48" i="9"/>
  <c r="U19" i="9"/>
  <c r="E60" i="9"/>
  <c r="F47" i="9"/>
  <c r="M68" i="9"/>
  <c r="U50" i="9"/>
  <c r="W40" i="9"/>
  <c r="H47" i="9"/>
  <c r="L60" i="9"/>
  <c r="I65" i="9"/>
  <c r="J19" i="9"/>
  <c r="H36" i="9"/>
  <c r="H21" i="9"/>
  <c r="G68" i="9"/>
  <c r="H33" i="9"/>
  <c r="S49" i="9"/>
  <c r="U11" i="9"/>
  <c r="U58" i="9" s="1"/>
  <c r="E58" i="9"/>
  <c r="U10" i="9"/>
  <c r="K68" i="9"/>
  <c r="M66" i="9"/>
  <c r="L108" i="9"/>
  <c r="N218" i="9" s="1"/>
  <c r="M218" i="9"/>
  <c r="U26" i="9"/>
  <c r="U63" i="9" s="1"/>
  <c r="E63" i="9"/>
  <c r="U33" i="9"/>
  <c r="P6" i="9"/>
  <c r="N10" i="9"/>
  <c r="K57" i="9"/>
  <c r="U21" i="9"/>
  <c r="U20" i="9"/>
  <c r="J39" i="9"/>
  <c r="E67" i="9"/>
  <c r="U40" i="9"/>
  <c r="U67" i="9" s="1"/>
  <c r="J33" i="9"/>
  <c r="N44" i="9"/>
  <c r="H45" i="9"/>
  <c r="J7" i="9"/>
  <c r="N45" i="9"/>
  <c r="H48" i="9"/>
  <c r="N41" i="9"/>
  <c r="Q65" i="9"/>
  <c r="L47" i="9"/>
  <c r="U48" i="9"/>
  <c r="S6" i="9"/>
  <c r="S33" i="9"/>
  <c r="K60" i="9"/>
  <c r="S19" i="9"/>
  <c r="Q68" i="9"/>
  <c r="S41" i="9"/>
  <c r="K66" i="9"/>
  <c r="E57" i="9"/>
  <c r="U6" i="9"/>
  <c r="E62" i="9"/>
  <c r="U24" i="9"/>
  <c r="U62" i="9" s="1"/>
  <c r="E64" i="9"/>
  <c r="U31" i="9"/>
  <c r="U64" i="9" s="1"/>
  <c r="N42" i="9"/>
  <c r="N35" i="9"/>
  <c r="G60" i="9"/>
  <c r="F21" i="9"/>
  <c r="U43" i="9"/>
  <c r="W16" i="9"/>
  <c r="U42" i="9"/>
  <c r="S39" i="9"/>
  <c r="L41" i="9"/>
  <c r="S21" i="9"/>
  <c r="Q66" i="9"/>
  <c r="U22" i="9"/>
  <c r="U8" i="9"/>
  <c r="H8" i="9"/>
  <c r="N34" i="9"/>
  <c r="N48" i="9"/>
  <c r="N39" i="9"/>
  <c r="O60" i="9"/>
  <c r="W11" i="9"/>
  <c r="U47" i="9"/>
  <c r="E59" i="9"/>
  <c r="U16" i="9"/>
  <c r="U59" i="9" s="1"/>
  <c r="U36" i="9"/>
  <c r="U35" i="9"/>
  <c r="L113" i="9"/>
  <c r="N223" i="9" s="1"/>
  <c r="M223" i="9"/>
  <c r="L9" i="9"/>
  <c r="W26" i="9"/>
  <c r="R36" i="9"/>
  <c r="E66" i="9"/>
  <c r="U34" i="9"/>
  <c r="W6" i="9"/>
  <c r="I60" i="9"/>
  <c r="N7" i="9"/>
  <c r="R48" i="9"/>
  <c r="R50" i="9"/>
  <c r="R41" i="9"/>
  <c r="W41" i="9"/>
  <c r="U23" i="9"/>
  <c r="U61" i="9" s="1"/>
  <c r="E61" i="9"/>
  <c r="S38" i="9"/>
  <c r="I68" i="9"/>
  <c r="V37" i="9" l="1"/>
  <c r="D141" i="9" s="1"/>
  <c r="D31" i="9"/>
  <c r="D51" i="9"/>
  <c r="D40" i="9"/>
  <c r="Y48" i="9"/>
  <c r="V43" i="9"/>
  <c r="D147" i="9" s="1"/>
  <c r="Y47" i="9"/>
  <c r="L66" i="9"/>
  <c r="V42" i="9"/>
  <c r="D146" i="9" s="1"/>
  <c r="Y7" i="9"/>
  <c r="J68" i="9"/>
  <c r="Y8" i="9"/>
  <c r="Y20" i="9"/>
  <c r="Y50" i="9"/>
  <c r="Y42" i="9"/>
  <c r="Y10" i="9"/>
  <c r="Y19" i="9"/>
  <c r="Y39" i="9"/>
  <c r="Y46" i="9"/>
  <c r="Y33" i="9"/>
  <c r="W63" i="9"/>
  <c r="Y26" i="9"/>
  <c r="S60" i="9"/>
  <c r="W62" i="9"/>
  <c r="Y24" i="9"/>
  <c r="W69" i="9"/>
  <c r="Y51" i="9"/>
  <c r="W61" i="9"/>
  <c r="Y23" i="9"/>
  <c r="Y37" i="9"/>
  <c r="Y9" i="9"/>
  <c r="W68" i="9"/>
  <c r="Y41" i="9"/>
  <c r="W58" i="9"/>
  <c r="Y11" i="9"/>
  <c r="U52" i="9"/>
  <c r="S52" i="9"/>
  <c r="V10" i="9"/>
  <c r="D173" i="9" s="1"/>
  <c r="V8" i="9"/>
  <c r="D171" i="9" s="1"/>
  <c r="W65" i="9"/>
  <c r="Y32" i="9"/>
  <c r="Y38" i="9"/>
  <c r="Y45" i="9"/>
  <c r="V38" i="9"/>
  <c r="D183" i="9" s="1"/>
  <c r="Y35" i="9"/>
  <c r="F66" i="9"/>
  <c r="Y6" i="9"/>
  <c r="W52" i="9"/>
  <c r="P57" i="9"/>
  <c r="P52" i="9"/>
  <c r="Y34" i="9"/>
  <c r="W64" i="9"/>
  <c r="Y31" i="9"/>
  <c r="W59" i="9"/>
  <c r="Y16" i="9"/>
  <c r="W67" i="9"/>
  <c r="Y40" i="9"/>
  <c r="N60" i="9"/>
  <c r="L52" i="9"/>
  <c r="N65" i="9"/>
  <c r="Y43" i="9"/>
  <c r="Y44" i="9"/>
  <c r="Y36" i="9"/>
  <c r="Y22" i="9"/>
  <c r="W60" i="9"/>
  <c r="Y21" i="9"/>
  <c r="Y49" i="9"/>
  <c r="R66" i="9"/>
  <c r="Q70" i="9"/>
  <c r="V50" i="9"/>
  <c r="D154" i="9" s="1"/>
  <c r="S68" i="9"/>
  <c r="V45" i="9"/>
  <c r="D149" i="9" s="1"/>
  <c r="V33" i="9"/>
  <c r="D182" i="9" s="1"/>
  <c r="V47" i="9"/>
  <c r="D151" i="9" s="1"/>
  <c r="V49" i="9"/>
  <c r="D153" i="9" s="1"/>
  <c r="O70" i="9"/>
  <c r="V44" i="9"/>
  <c r="D148" i="9" s="1"/>
  <c r="V39" i="9"/>
  <c r="D184" i="9" s="1"/>
  <c r="N66" i="9"/>
  <c r="H68" i="9"/>
  <c r="J65" i="9"/>
  <c r="G70" i="9"/>
  <c r="V7" i="9"/>
  <c r="D170" i="9" s="1"/>
  <c r="J60" i="9"/>
  <c r="F68" i="9"/>
  <c r="V46" i="9"/>
  <c r="D150" i="9" s="1"/>
  <c r="R68" i="9"/>
  <c r="I70" i="9"/>
  <c r="V48" i="9"/>
  <c r="D152" i="9" s="1"/>
  <c r="V21" i="9"/>
  <c r="D135" i="9" s="1"/>
  <c r="U57" i="9"/>
  <c r="V41" i="9"/>
  <c r="D145" i="9" s="1"/>
  <c r="P66" i="9"/>
  <c r="W66" i="9"/>
  <c r="S66" i="9"/>
  <c r="S57" i="9"/>
  <c r="H60" i="9"/>
  <c r="E70" i="9"/>
  <c r="F6" i="9"/>
  <c r="F52" i="9" s="1"/>
  <c r="U66" i="9"/>
  <c r="L68" i="9"/>
  <c r="R6" i="9"/>
  <c r="N6" i="9"/>
  <c r="V35" i="9"/>
  <c r="D139" i="9" s="1"/>
  <c r="U60" i="9"/>
  <c r="V22" i="9"/>
  <c r="D175" i="9" s="1"/>
  <c r="U65" i="9"/>
  <c r="S65" i="9"/>
  <c r="H66" i="9"/>
  <c r="N68" i="9"/>
  <c r="J6" i="9"/>
  <c r="V36" i="9"/>
  <c r="D140" i="9" s="1"/>
  <c r="J66" i="9"/>
  <c r="W57" i="9"/>
  <c r="U68" i="9"/>
  <c r="H6" i="9"/>
  <c r="K70" i="9"/>
  <c r="V34" i="9"/>
  <c r="P60" i="9"/>
  <c r="M70" i="9"/>
  <c r="L57" i="9"/>
  <c r="V19" i="9"/>
  <c r="F60" i="9"/>
  <c r="D142" i="9"/>
  <c r="H65" i="9"/>
  <c r="AB31" i="9" l="1"/>
  <c r="AA31" i="9"/>
  <c r="AB51" i="9"/>
  <c r="AA51" i="9"/>
  <c r="AB40" i="9"/>
  <c r="AA40" i="9"/>
  <c r="J99" i="9"/>
  <c r="J225" i="9" s="1"/>
  <c r="L99" i="9"/>
  <c r="J115" i="9" s="1"/>
  <c r="L225" i="9" s="1"/>
  <c r="D13" i="9"/>
  <c r="D18" i="9"/>
  <c r="D29" i="9"/>
  <c r="D8" i="9"/>
  <c r="D9" i="9"/>
  <c r="D10" i="9"/>
  <c r="D7" i="9"/>
  <c r="D67" i="9"/>
  <c r="T40" i="9"/>
  <c r="X40" i="9"/>
  <c r="D22" i="9"/>
  <c r="D19" i="9"/>
  <c r="D21" i="9"/>
  <c r="D20" i="9"/>
  <c r="D69" i="9"/>
  <c r="X51" i="9"/>
  <c r="T51" i="9"/>
  <c r="D43" i="9"/>
  <c r="D49" i="9"/>
  <c r="D48" i="9"/>
  <c r="D42" i="9"/>
  <c r="D45" i="9"/>
  <c r="D47" i="9"/>
  <c r="D50" i="9"/>
  <c r="D44" i="9"/>
  <c r="D41" i="9"/>
  <c r="D46" i="9"/>
  <c r="D14" i="9"/>
  <c r="D32" i="9"/>
  <c r="D33" i="9"/>
  <c r="D12" i="9"/>
  <c r="D34" i="9"/>
  <c r="D38" i="9"/>
  <c r="D36" i="9"/>
  <c r="D35" i="9"/>
  <c r="D37" i="9"/>
  <c r="D39" i="9"/>
  <c r="D64" i="9"/>
  <c r="T31" i="9"/>
  <c r="X31" i="9"/>
  <c r="D16" i="9"/>
  <c r="D30" i="9"/>
  <c r="D15" i="9"/>
  <c r="D11" i="9"/>
  <c r="D24" i="9"/>
  <c r="D28" i="9"/>
  <c r="D17" i="9"/>
  <c r="D25" i="9"/>
  <c r="D26" i="9"/>
  <c r="D23" i="9"/>
  <c r="D27" i="9"/>
  <c r="I102" i="9"/>
  <c r="I228" i="9" s="1"/>
  <c r="H57" i="9"/>
  <c r="H70" i="9" s="1"/>
  <c r="H52" i="9"/>
  <c r="R57" i="9"/>
  <c r="R70" i="9" s="1"/>
  <c r="R52" i="9"/>
  <c r="I99" i="9"/>
  <c r="U70" i="9"/>
  <c r="K99" i="9"/>
  <c r="K100" i="9"/>
  <c r="J57" i="9"/>
  <c r="J70" i="9" s="1"/>
  <c r="J52" i="9"/>
  <c r="N57" i="9"/>
  <c r="N70" i="9" s="1"/>
  <c r="N52" i="9"/>
  <c r="Y52" i="9"/>
  <c r="V65" i="9"/>
  <c r="W70" i="9"/>
  <c r="D155" i="9"/>
  <c r="J102" i="9"/>
  <c r="J228" i="9" s="1"/>
  <c r="V68" i="9"/>
  <c r="L102" i="9"/>
  <c r="L70" i="9"/>
  <c r="K102" i="9"/>
  <c r="L100" i="9"/>
  <c r="J116" i="9" s="1"/>
  <c r="L226" i="9" s="1"/>
  <c r="J100" i="9"/>
  <c r="J226" i="9" s="1"/>
  <c r="S70" i="9"/>
  <c r="K94" i="9"/>
  <c r="J94" i="9"/>
  <c r="J220" i="9" s="1"/>
  <c r="I94" i="9"/>
  <c r="L94" i="9"/>
  <c r="V6" i="9"/>
  <c r="V52" i="9" s="1"/>
  <c r="F57" i="9"/>
  <c r="D138" i="9"/>
  <c r="V66" i="9"/>
  <c r="P70" i="9"/>
  <c r="I100" i="9"/>
  <c r="D134" i="9"/>
  <c r="V60" i="9"/>
  <c r="I118" i="9" l="1"/>
  <c r="AB23" i="9"/>
  <c r="AA23" i="9"/>
  <c r="AB30" i="9"/>
  <c r="AA30" i="9"/>
  <c r="AB36" i="9"/>
  <c r="AA36" i="9"/>
  <c r="AB45" i="9"/>
  <c r="AA45" i="9"/>
  <c r="AB18" i="9"/>
  <c r="AA18" i="9"/>
  <c r="AB12" i="9"/>
  <c r="AA12" i="9"/>
  <c r="AB47" i="9"/>
  <c r="AA47" i="9"/>
  <c r="AB49" i="9"/>
  <c r="AA49" i="9"/>
  <c r="AB22" i="9"/>
  <c r="AA22" i="9"/>
  <c r="AB7" i="9"/>
  <c r="AA7" i="9"/>
  <c r="AB26" i="9"/>
  <c r="AA26" i="9"/>
  <c r="AB24" i="9"/>
  <c r="AA24" i="9"/>
  <c r="AB16" i="9"/>
  <c r="AA16" i="9"/>
  <c r="AB39" i="9"/>
  <c r="AA39" i="9"/>
  <c r="AB38" i="9"/>
  <c r="AA38" i="9"/>
  <c r="AB32" i="9"/>
  <c r="AA32" i="9"/>
  <c r="AA44" i="9"/>
  <c r="AB44" i="9"/>
  <c r="AA42" i="9"/>
  <c r="AB42" i="9"/>
  <c r="AB21" i="9"/>
  <c r="AA21" i="9"/>
  <c r="AB9" i="9"/>
  <c r="AA9" i="9"/>
  <c r="AB13" i="9"/>
  <c r="AA13" i="9"/>
  <c r="AB33" i="9"/>
  <c r="AA33" i="9"/>
  <c r="AB10" i="9"/>
  <c r="AA10" i="9"/>
  <c r="AB28" i="9"/>
  <c r="AA28" i="9"/>
  <c r="AB41" i="9"/>
  <c r="AA41" i="9"/>
  <c r="AB43" i="9"/>
  <c r="AA43" i="9"/>
  <c r="AB20" i="9"/>
  <c r="AA20" i="9"/>
  <c r="AB27" i="9"/>
  <c r="AA27" i="9"/>
  <c r="AB17" i="9"/>
  <c r="AA17" i="9"/>
  <c r="AB15" i="9"/>
  <c r="AA15" i="9"/>
  <c r="AB35" i="9"/>
  <c r="AA35" i="9"/>
  <c r="AA46" i="9"/>
  <c r="AB46" i="9"/>
  <c r="AB29" i="9"/>
  <c r="AA29" i="9"/>
  <c r="AB25" i="9"/>
  <c r="AA25" i="9"/>
  <c r="AB11" i="9"/>
  <c r="AA11" i="9"/>
  <c r="AB37" i="9"/>
  <c r="AA37" i="9"/>
  <c r="AB34" i="9"/>
  <c r="AA34" i="9"/>
  <c r="AB14" i="9"/>
  <c r="AA14" i="9"/>
  <c r="AA50" i="9"/>
  <c r="AB50" i="9"/>
  <c r="AA48" i="9"/>
  <c r="AB48" i="9"/>
  <c r="AB19" i="9"/>
  <c r="AA19" i="9"/>
  <c r="AB8" i="9"/>
  <c r="AA8" i="9"/>
  <c r="S102" i="9"/>
  <c r="J118" i="9"/>
  <c r="L228" i="9" s="1"/>
  <c r="I115" i="9"/>
  <c r="Q102" i="9"/>
  <c r="K226" i="9"/>
  <c r="V100" i="9"/>
  <c r="H118" i="9"/>
  <c r="K118" i="9" s="1"/>
  <c r="M228" i="9" s="1"/>
  <c r="K228" i="9"/>
  <c r="V102" i="9"/>
  <c r="K225" i="9"/>
  <c r="V99" i="9"/>
  <c r="H115" i="9"/>
  <c r="V94" i="9"/>
  <c r="T27" i="9"/>
  <c r="C136" i="9" s="1"/>
  <c r="X27" i="9"/>
  <c r="D61" i="9"/>
  <c r="T23" i="9"/>
  <c r="X23" i="9"/>
  <c r="T17" i="9"/>
  <c r="X17" i="9"/>
  <c r="D62" i="9"/>
  <c r="X24" i="9"/>
  <c r="T24" i="9"/>
  <c r="X30" i="9"/>
  <c r="T30" i="9"/>
  <c r="C180" i="9" s="1"/>
  <c r="T39" i="9"/>
  <c r="C184" i="9" s="1"/>
  <c r="X39" i="9"/>
  <c r="T38" i="9"/>
  <c r="C183" i="9" s="1"/>
  <c r="X38" i="9"/>
  <c r="X33" i="9"/>
  <c r="T33" i="9"/>
  <c r="C182" i="9" s="1"/>
  <c r="T14" i="9"/>
  <c r="X14" i="9"/>
  <c r="T44" i="9"/>
  <c r="C148" i="9" s="1"/>
  <c r="X44" i="9"/>
  <c r="X42" i="9"/>
  <c r="T42" i="9"/>
  <c r="C146" i="9" s="1"/>
  <c r="T69" i="9"/>
  <c r="E87" i="9" s="1"/>
  <c r="C186" i="9"/>
  <c r="X21" i="9"/>
  <c r="T21" i="9"/>
  <c r="C135" i="9" s="1"/>
  <c r="C185" i="9"/>
  <c r="T67" i="9"/>
  <c r="E85" i="9" s="1"/>
  <c r="X9" i="9"/>
  <c r="T9" i="9"/>
  <c r="C172" i="9" s="1"/>
  <c r="C195" i="9" s="1"/>
  <c r="X26" i="9"/>
  <c r="T26" i="9"/>
  <c r="D63" i="9"/>
  <c r="X11" i="9"/>
  <c r="D58" i="9"/>
  <c r="T11" i="9"/>
  <c r="E98" i="9"/>
  <c r="D224" i="9" s="1"/>
  <c r="F98" i="9"/>
  <c r="D98" i="9"/>
  <c r="G98" i="9"/>
  <c r="F82" i="9"/>
  <c r="G82" i="9"/>
  <c r="H82" i="9"/>
  <c r="X36" i="9"/>
  <c r="T36" i="9"/>
  <c r="C140" i="9" s="1"/>
  <c r="D68" i="9"/>
  <c r="X41" i="9"/>
  <c r="T41" i="9"/>
  <c r="X45" i="9"/>
  <c r="T45" i="9"/>
  <c r="C149" i="9" s="1"/>
  <c r="T43" i="9"/>
  <c r="C147" i="9" s="1"/>
  <c r="X43" i="9"/>
  <c r="X20" i="9"/>
  <c r="T20" i="9"/>
  <c r="C174" i="9" s="1"/>
  <c r="X67" i="9"/>
  <c r="Z40" i="9"/>
  <c r="E185" i="9"/>
  <c r="D6" i="9"/>
  <c r="T13" i="9"/>
  <c r="X13" i="9"/>
  <c r="T25" i="9"/>
  <c r="X25" i="9"/>
  <c r="X28" i="9"/>
  <c r="T28" i="9"/>
  <c r="C137" i="9" s="1"/>
  <c r="T15" i="9"/>
  <c r="X15" i="9"/>
  <c r="X16" i="9"/>
  <c r="T16" i="9"/>
  <c r="D59" i="9"/>
  <c r="AA58" i="9" s="1"/>
  <c r="C181" i="9"/>
  <c r="T64" i="9"/>
  <c r="E82" i="9" s="1"/>
  <c r="T35" i="9"/>
  <c r="C139" i="9" s="1"/>
  <c r="X35" i="9"/>
  <c r="T12" i="9"/>
  <c r="X12" i="9"/>
  <c r="X46" i="9"/>
  <c r="T46" i="9"/>
  <c r="C150" i="9" s="1"/>
  <c r="X47" i="9"/>
  <c r="T47" i="9"/>
  <c r="C151" i="9" s="1"/>
  <c r="X49" i="9"/>
  <c r="T49" i="9"/>
  <c r="C153" i="9" s="1"/>
  <c r="E103" i="9"/>
  <c r="D229" i="9" s="1"/>
  <c r="F87" i="9"/>
  <c r="F103" i="9"/>
  <c r="D103" i="9"/>
  <c r="G87" i="9"/>
  <c r="H87" i="9"/>
  <c r="G103" i="9"/>
  <c r="T22" i="9"/>
  <c r="C175" i="9" s="1"/>
  <c r="X22" i="9"/>
  <c r="X10" i="9"/>
  <c r="T10" i="9"/>
  <c r="C173" i="9" s="1"/>
  <c r="C196" i="9" s="1"/>
  <c r="X64" i="9"/>
  <c r="E181" i="9"/>
  <c r="Z31" i="9"/>
  <c r="T37" i="9"/>
  <c r="C141" i="9" s="1"/>
  <c r="X37" i="9"/>
  <c r="D66" i="9"/>
  <c r="D100" i="9" s="1"/>
  <c r="T34" i="9"/>
  <c r="X34" i="9"/>
  <c r="D65" i="9"/>
  <c r="X32" i="9"/>
  <c r="T32" i="9"/>
  <c r="X50" i="9"/>
  <c r="T50" i="9"/>
  <c r="C154" i="9" s="1"/>
  <c r="X48" i="9"/>
  <c r="T48" i="9"/>
  <c r="C152" i="9" s="1"/>
  <c r="E186" i="9"/>
  <c r="Z51" i="9"/>
  <c r="X69" i="9"/>
  <c r="D60" i="9"/>
  <c r="T19" i="9"/>
  <c r="X19" i="9"/>
  <c r="G101" i="9"/>
  <c r="G85" i="9"/>
  <c r="F101" i="9"/>
  <c r="D101" i="9"/>
  <c r="F85" i="9"/>
  <c r="H85" i="9"/>
  <c r="E101" i="9"/>
  <c r="D227" i="9" s="1"/>
  <c r="X7" i="9"/>
  <c r="T7" i="9"/>
  <c r="C170" i="9" s="1"/>
  <c r="C193" i="9" s="1"/>
  <c r="X8" i="9"/>
  <c r="T8" i="9"/>
  <c r="C171" i="9" s="1"/>
  <c r="C194" i="9" s="1"/>
  <c r="X29" i="9"/>
  <c r="T29" i="9"/>
  <c r="C179" i="9" s="1"/>
  <c r="X18" i="9"/>
  <c r="T18" i="9"/>
  <c r="P102" i="9"/>
  <c r="M102" i="9"/>
  <c r="D143" i="9"/>
  <c r="D156" i="9" s="1"/>
  <c r="Q99" i="9"/>
  <c r="S99" i="9"/>
  <c r="P99" i="9"/>
  <c r="M99" i="9"/>
  <c r="I225" i="9"/>
  <c r="M94" i="9"/>
  <c r="J110" i="9"/>
  <c r="L220" i="9" s="1"/>
  <c r="I226" i="9"/>
  <c r="S100" i="9"/>
  <c r="I116" i="9"/>
  <c r="H116" i="9"/>
  <c r="P100" i="9"/>
  <c r="S94" i="9"/>
  <c r="P94" i="9"/>
  <c r="I220" i="9"/>
  <c r="H110" i="9"/>
  <c r="I110" i="9"/>
  <c r="I91" i="9"/>
  <c r="F70" i="9"/>
  <c r="A57" i="9"/>
  <c r="J91" i="9"/>
  <c r="J217" i="9" s="1"/>
  <c r="L91" i="9"/>
  <c r="K91" i="9"/>
  <c r="M100" i="9"/>
  <c r="V57" i="9"/>
  <c r="V70" i="9" s="1"/>
  <c r="D169" i="9"/>
  <c r="K220" i="9"/>
  <c r="Q94" i="9"/>
  <c r="Q100" i="9"/>
  <c r="D187" i="9" l="1"/>
  <c r="D188" i="9" s="1"/>
  <c r="H169" i="9"/>
  <c r="AB6" i="9"/>
  <c r="AA6" i="9"/>
  <c r="S91" i="9"/>
  <c r="P91" i="9"/>
  <c r="Q91" i="9"/>
  <c r="K115" i="9"/>
  <c r="M225" i="9" s="1"/>
  <c r="V91" i="9"/>
  <c r="H101" i="9"/>
  <c r="E117" i="9"/>
  <c r="F227" i="9" s="1"/>
  <c r="E152" i="9"/>
  <c r="Z48" i="9"/>
  <c r="E142" i="9"/>
  <c r="X65" i="9"/>
  <c r="Z32" i="9"/>
  <c r="H84" i="9"/>
  <c r="E100" i="9"/>
  <c r="D226" i="9" s="1"/>
  <c r="F100" i="9"/>
  <c r="F84" i="9"/>
  <c r="G100" i="9"/>
  <c r="G84" i="9"/>
  <c r="Z22" i="9"/>
  <c r="E175" i="9"/>
  <c r="E151" i="9"/>
  <c r="Z47" i="9"/>
  <c r="Z35" i="9"/>
  <c r="E139" i="9"/>
  <c r="E93" i="9"/>
  <c r="D219" i="9" s="1"/>
  <c r="F77" i="9"/>
  <c r="F93" i="9"/>
  <c r="D93" i="9"/>
  <c r="H77" i="9"/>
  <c r="G93" i="9"/>
  <c r="G77" i="9"/>
  <c r="C130" i="9"/>
  <c r="C202" i="9"/>
  <c r="C177" i="9"/>
  <c r="C207" i="9"/>
  <c r="Z68" i="9"/>
  <c r="D102" i="9"/>
  <c r="G102" i="9"/>
  <c r="F86" i="9"/>
  <c r="H86" i="9"/>
  <c r="E102" i="9"/>
  <c r="D228" i="9" s="1"/>
  <c r="G86" i="9"/>
  <c r="A68" i="9"/>
  <c r="F102" i="9"/>
  <c r="P82" i="9"/>
  <c r="R82" i="9"/>
  <c r="E224" i="9"/>
  <c r="O98" i="9"/>
  <c r="U98" i="9"/>
  <c r="Z11" i="9"/>
  <c r="E129" i="9"/>
  <c r="X58" i="9"/>
  <c r="P87" i="9"/>
  <c r="K87" i="9"/>
  <c r="S87" i="9"/>
  <c r="Q87" i="9"/>
  <c r="J87" i="9"/>
  <c r="O87" i="9"/>
  <c r="E182" i="9"/>
  <c r="Z33" i="9"/>
  <c r="E176" i="9"/>
  <c r="Z24" i="9"/>
  <c r="X62" i="9"/>
  <c r="Z23" i="9"/>
  <c r="E144" i="9"/>
  <c r="X61" i="9"/>
  <c r="R87" i="9"/>
  <c r="Z18" i="9"/>
  <c r="E133" i="9"/>
  <c r="E171" i="9"/>
  <c r="Z8" i="9"/>
  <c r="L85" i="9"/>
  <c r="I85" i="9"/>
  <c r="P85" i="9"/>
  <c r="R85" i="9"/>
  <c r="G94" i="9"/>
  <c r="F78" i="9"/>
  <c r="H78" i="9"/>
  <c r="G78" i="9"/>
  <c r="E94" i="9"/>
  <c r="D220" i="9" s="1"/>
  <c r="D94" i="9"/>
  <c r="F94" i="9"/>
  <c r="C142" i="9"/>
  <c r="C161" i="9" s="1"/>
  <c r="T65" i="9"/>
  <c r="E83" i="9" s="1"/>
  <c r="C138" i="9"/>
  <c r="T66" i="9"/>
  <c r="E84" i="9" s="1"/>
  <c r="E173" i="9"/>
  <c r="Z10" i="9"/>
  <c r="L87" i="9"/>
  <c r="I87" i="9"/>
  <c r="C199" i="9"/>
  <c r="C126" i="9"/>
  <c r="Z15" i="9"/>
  <c r="E130" i="9"/>
  <c r="Z25" i="9"/>
  <c r="E177" i="9"/>
  <c r="D52" i="9"/>
  <c r="D57" i="9"/>
  <c r="X6" i="9"/>
  <c r="T6" i="9"/>
  <c r="E145" i="9"/>
  <c r="Z41" i="9"/>
  <c r="X68" i="9"/>
  <c r="L82" i="9"/>
  <c r="I82" i="9"/>
  <c r="T98" i="9"/>
  <c r="R98" i="9"/>
  <c r="D114" i="9"/>
  <c r="C224" i="9"/>
  <c r="C114" i="9"/>
  <c r="N98" i="9"/>
  <c r="G76" i="9"/>
  <c r="F76" i="9"/>
  <c r="H76" i="9"/>
  <c r="G92" i="9"/>
  <c r="E92" i="9"/>
  <c r="D218" i="9" s="1"/>
  <c r="D92" i="9"/>
  <c r="F92" i="9"/>
  <c r="E178" i="9"/>
  <c r="X63" i="9"/>
  <c r="Z26" i="9"/>
  <c r="O85" i="9"/>
  <c r="Q85" i="9"/>
  <c r="S85" i="9"/>
  <c r="K85" i="9"/>
  <c r="J85" i="9"/>
  <c r="E148" i="9"/>
  <c r="Z44" i="9"/>
  <c r="Z39" i="9"/>
  <c r="E184" i="9"/>
  <c r="C176" i="9"/>
  <c r="T62" i="9"/>
  <c r="E80" i="9" s="1"/>
  <c r="C206" i="9"/>
  <c r="C204" i="9"/>
  <c r="C132" i="9"/>
  <c r="E136" i="9"/>
  <c r="Z27" i="9"/>
  <c r="C205" i="9"/>
  <c r="C133" i="9"/>
  <c r="E227" i="9"/>
  <c r="U101" i="9"/>
  <c r="O101" i="9"/>
  <c r="T60" i="9"/>
  <c r="E78" i="9" s="1"/>
  <c r="C134" i="9"/>
  <c r="E154" i="9"/>
  <c r="Z50" i="9"/>
  <c r="E138" i="9"/>
  <c r="Z34" i="9"/>
  <c r="X66" i="9"/>
  <c r="E119" i="9"/>
  <c r="F229" i="9" s="1"/>
  <c r="H103" i="9"/>
  <c r="U103" i="9"/>
  <c r="O103" i="9"/>
  <c r="E229" i="9"/>
  <c r="Z49" i="9"/>
  <c r="E153" i="9"/>
  <c r="Z46" i="9"/>
  <c r="E150" i="9"/>
  <c r="Z12" i="9"/>
  <c r="E126" i="9"/>
  <c r="O82" i="9"/>
  <c r="Q82" i="9"/>
  <c r="S82" i="9"/>
  <c r="K82" i="9"/>
  <c r="J82" i="9"/>
  <c r="X59" i="9"/>
  <c r="Z16" i="9"/>
  <c r="E131" i="9"/>
  <c r="Z28" i="9"/>
  <c r="E137" i="9"/>
  <c r="C127" i="9"/>
  <c r="C200" i="9"/>
  <c r="Z43" i="9"/>
  <c r="E147" i="9"/>
  <c r="T68" i="9"/>
  <c r="E86" i="9" s="1"/>
  <c r="C145" i="9"/>
  <c r="C163" i="9" s="1"/>
  <c r="E140" i="9"/>
  <c r="Z36" i="9"/>
  <c r="E114" i="9"/>
  <c r="F224" i="9" s="1"/>
  <c r="H98" i="9"/>
  <c r="C198" i="9"/>
  <c r="C129" i="9"/>
  <c r="T58" i="9"/>
  <c r="E76" i="9" s="1"/>
  <c r="T63" i="9"/>
  <c r="E81" i="9" s="1"/>
  <c r="C178" i="9"/>
  <c r="E172" i="9"/>
  <c r="Z9" i="9"/>
  <c r="Z21" i="9"/>
  <c r="E135" i="9"/>
  <c r="E146" i="9"/>
  <c r="Z42" i="9"/>
  <c r="C201" i="9"/>
  <c r="C128" i="9"/>
  <c r="E180" i="9"/>
  <c r="Z30" i="9"/>
  <c r="Z17" i="9"/>
  <c r="E132" i="9"/>
  <c r="G79" i="9"/>
  <c r="H79" i="9"/>
  <c r="G95" i="9"/>
  <c r="E95" i="9"/>
  <c r="D221" i="9" s="1"/>
  <c r="F79" i="9"/>
  <c r="F95" i="9"/>
  <c r="D95" i="9"/>
  <c r="Z29" i="9"/>
  <c r="E179" i="9"/>
  <c r="E170" i="9"/>
  <c r="Z7" i="9"/>
  <c r="T101" i="9"/>
  <c r="R101" i="9"/>
  <c r="C117" i="9"/>
  <c r="C227" i="9"/>
  <c r="D117" i="9"/>
  <c r="N101" i="9"/>
  <c r="Z19" i="9"/>
  <c r="X60" i="9"/>
  <c r="E134" i="9"/>
  <c r="F99" i="9"/>
  <c r="G83" i="9"/>
  <c r="D99" i="9"/>
  <c r="E99" i="9"/>
  <c r="D225" i="9" s="1"/>
  <c r="F83" i="9"/>
  <c r="H83" i="9"/>
  <c r="G99" i="9"/>
  <c r="E141" i="9"/>
  <c r="Z37" i="9"/>
  <c r="R103" i="9"/>
  <c r="T103" i="9"/>
  <c r="C229" i="9"/>
  <c r="D119" i="9"/>
  <c r="N103" i="9"/>
  <c r="C119" i="9"/>
  <c r="C203" i="9"/>
  <c r="C131" i="9"/>
  <c r="T59" i="9"/>
  <c r="E77" i="9" s="1"/>
  <c r="Z13" i="9"/>
  <c r="E127" i="9"/>
  <c r="E174" i="9"/>
  <c r="Z20" i="9"/>
  <c r="E149" i="9"/>
  <c r="Z45" i="9"/>
  <c r="E97" i="9"/>
  <c r="D223" i="9" s="1"/>
  <c r="G81" i="9"/>
  <c r="F97" i="9"/>
  <c r="G97" i="9"/>
  <c r="D97" i="9"/>
  <c r="H81" i="9"/>
  <c r="F81" i="9"/>
  <c r="Z14" i="9"/>
  <c r="E128" i="9"/>
  <c r="Z38" i="9"/>
  <c r="E183" i="9"/>
  <c r="F96" i="9"/>
  <c r="F80" i="9"/>
  <c r="H80" i="9"/>
  <c r="E96" i="9"/>
  <c r="D222" i="9" s="1"/>
  <c r="G96" i="9"/>
  <c r="G80" i="9"/>
  <c r="D96" i="9"/>
  <c r="C144" i="9"/>
  <c r="T61" i="9"/>
  <c r="E79" i="9" s="1"/>
  <c r="L118" i="9"/>
  <c r="N228" i="9" s="1"/>
  <c r="K217" i="9"/>
  <c r="K110" i="9"/>
  <c r="M91" i="9"/>
  <c r="J107" i="9"/>
  <c r="L217" i="9" s="1"/>
  <c r="K116" i="9"/>
  <c r="I107" i="9"/>
  <c r="I217" i="9"/>
  <c r="H107" i="9"/>
  <c r="L115" i="9" l="1"/>
  <c r="N225" i="9" s="1"/>
  <c r="F117" i="9"/>
  <c r="G227" i="9" s="1"/>
  <c r="M85" i="9"/>
  <c r="N85" i="9" s="1"/>
  <c r="R83" i="9"/>
  <c r="F114" i="9"/>
  <c r="G114" i="9" s="1"/>
  <c r="H224" i="9" s="1"/>
  <c r="U99" i="9"/>
  <c r="E225" i="9"/>
  <c r="O99" i="9"/>
  <c r="P79" i="9"/>
  <c r="R79" i="9"/>
  <c r="I76" i="9"/>
  <c r="L76" i="9"/>
  <c r="F91" i="9"/>
  <c r="D70" i="9"/>
  <c r="E91" i="9"/>
  <c r="D217" i="9" s="1"/>
  <c r="G91" i="9"/>
  <c r="F75" i="9"/>
  <c r="D91" i="9"/>
  <c r="T91" i="9" s="1"/>
  <c r="G75" i="9"/>
  <c r="H75" i="9"/>
  <c r="L75" i="9" s="1"/>
  <c r="J84" i="9"/>
  <c r="S84" i="9"/>
  <c r="O84" i="9"/>
  <c r="K84" i="9"/>
  <c r="Q84" i="9"/>
  <c r="E109" i="9"/>
  <c r="F219" i="9" s="1"/>
  <c r="H93" i="9"/>
  <c r="L80" i="9"/>
  <c r="I80" i="9"/>
  <c r="U97" i="9"/>
  <c r="O97" i="9"/>
  <c r="E223" i="9"/>
  <c r="E115" i="9"/>
  <c r="F225" i="9" s="1"/>
  <c r="H99" i="9"/>
  <c r="K79" i="9"/>
  <c r="Q79" i="9"/>
  <c r="J79" i="9"/>
  <c r="S79" i="9"/>
  <c r="O79" i="9"/>
  <c r="H96" i="9"/>
  <c r="E112" i="9"/>
  <c r="F222" i="9" s="1"/>
  <c r="U96" i="9"/>
  <c r="O96" i="9"/>
  <c r="E222" i="9"/>
  <c r="E113" i="9"/>
  <c r="F223" i="9" s="1"/>
  <c r="H97" i="9"/>
  <c r="T92" i="9"/>
  <c r="N92" i="9"/>
  <c r="R92" i="9"/>
  <c r="C218" i="9"/>
  <c r="D108" i="9"/>
  <c r="C108" i="9"/>
  <c r="T94" i="9"/>
  <c r="R94" i="9"/>
  <c r="C110" i="9"/>
  <c r="D110" i="9"/>
  <c r="N94" i="9"/>
  <c r="C220" i="9"/>
  <c r="T102" i="9"/>
  <c r="R102" i="9"/>
  <c r="C118" i="9"/>
  <c r="N102" i="9"/>
  <c r="D118" i="9"/>
  <c r="C228" i="9"/>
  <c r="L77" i="9"/>
  <c r="I77" i="9"/>
  <c r="E116" i="9"/>
  <c r="F226" i="9" s="1"/>
  <c r="H100" i="9"/>
  <c r="F119" i="9"/>
  <c r="M82" i="9"/>
  <c r="N82" i="9" s="1"/>
  <c r="E155" i="9"/>
  <c r="M87" i="9"/>
  <c r="N87" i="9" s="1"/>
  <c r="R80" i="9"/>
  <c r="P80" i="9"/>
  <c r="T97" i="9"/>
  <c r="R97" i="9"/>
  <c r="C223" i="9"/>
  <c r="N97" i="9"/>
  <c r="D113" i="9"/>
  <c r="C113" i="9"/>
  <c r="O92" i="9"/>
  <c r="U92" i="9"/>
  <c r="E218" i="9"/>
  <c r="I78" i="9"/>
  <c r="L78" i="9"/>
  <c r="E118" i="9"/>
  <c r="F228" i="9" s="1"/>
  <c r="H102" i="9"/>
  <c r="R84" i="9"/>
  <c r="P84" i="9"/>
  <c r="U100" i="9"/>
  <c r="E226" i="9"/>
  <c r="O100" i="9"/>
  <c r="T96" i="9"/>
  <c r="D112" i="9"/>
  <c r="R96" i="9"/>
  <c r="C112" i="9"/>
  <c r="C222" i="9"/>
  <c r="N96" i="9"/>
  <c r="P81" i="9"/>
  <c r="R81" i="9"/>
  <c r="I83" i="9"/>
  <c r="L83" i="9"/>
  <c r="U95" i="9"/>
  <c r="E221" i="9"/>
  <c r="O95" i="9"/>
  <c r="I79" i="9"/>
  <c r="L79" i="9"/>
  <c r="S76" i="9"/>
  <c r="J76" i="9"/>
  <c r="Q76" i="9"/>
  <c r="K76" i="9"/>
  <c r="O76" i="9"/>
  <c r="O86" i="9"/>
  <c r="Q86" i="9"/>
  <c r="J86" i="9"/>
  <c r="S86" i="9"/>
  <c r="K86" i="9"/>
  <c r="J78" i="9"/>
  <c r="Q78" i="9"/>
  <c r="K78" i="9"/>
  <c r="O78" i="9"/>
  <c r="S78" i="9"/>
  <c r="H92" i="9"/>
  <c r="E108" i="9"/>
  <c r="F218" i="9" s="1"/>
  <c r="X57" i="9"/>
  <c r="X70" i="9" s="1"/>
  <c r="Z6" i="9"/>
  <c r="Z52" i="9" s="1"/>
  <c r="E169" i="9"/>
  <c r="X52" i="9"/>
  <c r="P78" i="9"/>
  <c r="R78" i="9"/>
  <c r="P77" i="9"/>
  <c r="R77" i="9"/>
  <c r="O93" i="9"/>
  <c r="U93" i="9"/>
  <c r="E219" i="9"/>
  <c r="T100" i="9"/>
  <c r="C226" i="9"/>
  <c r="D116" i="9"/>
  <c r="C116" i="9"/>
  <c r="N100" i="9"/>
  <c r="R100" i="9"/>
  <c r="U94" i="9"/>
  <c r="O94" i="9"/>
  <c r="E220" i="9"/>
  <c r="P86" i="9"/>
  <c r="R86" i="9"/>
  <c r="I81" i="9"/>
  <c r="L81" i="9"/>
  <c r="S77" i="9"/>
  <c r="O77" i="9"/>
  <c r="K77" i="9"/>
  <c r="J77" i="9"/>
  <c r="Q77" i="9"/>
  <c r="C162" i="9"/>
  <c r="C155" i="9"/>
  <c r="T99" i="9"/>
  <c r="N99" i="9"/>
  <c r="C225" i="9"/>
  <c r="R99" i="9"/>
  <c r="D115" i="9"/>
  <c r="C115" i="9"/>
  <c r="T95" i="9"/>
  <c r="R95" i="9"/>
  <c r="C221" i="9"/>
  <c r="N95" i="9"/>
  <c r="C111" i="9"/>
  <c r="D111" i="9"/>
  <c r="H95" i="9"/>
  <c r="E111" i="9"/>
  <c r="F221" i="9" s="1"/>
  <c r="K81" i="9"/>
  <c r="Q81" i="9"/>
  <c r="S81" i="9"/>
  <c r="O81" i="9"/>
  <c r="J81" i="9"/>
  <c r="S80" i="9"/>
  <c r="J80" i="9"/>
  <c r="K80" i="9"/>
  <c r="Q80" i="9"/>
  <c r="O80" i="9"/>
  <c r="P76" i="9"/>
  <c r="R76" i="9"/>
  <c r="T57" i="9"/>
  <c r="T52" i="9"/>
  <c r="C169" i="9"/>
  <c r="G169" i="9" s="1"/>
  <c r="P83" i="9"/>
  <c r="S83" i="9"/>
  <c r="K83" i="9"/>
  <c r="Q83" i="9"/>
  <c r="J83" i="9"/>
  <c r="O83" i="9"/>
  <c r="H94" i="9"/>
  <c r="E110" i="9"/>
  <c r="F220" i="9" s="1"/>
  <c r="U102" i="9"/>
  <c r="O102" i="9"/>
  <c r="E228" i="9"/>
  <c r="L86" i="9"/>
  <c r="I86" i="9"/>
  <c r="T93" i="9"/>
  <c r="D109" i="9"/>
  <c r="C219" i="9"/>
  <c r="R93" i="9"/>
  <c r="N93" i="9"/>
  <c r="C109" i="9"/>
  <c r="L84" i="9"/>
  <c r="I84" i="9"/>
  <c r="E143" i="9"/>
  <c r="C143" i="9"/>
  <c r="M226" i="9"/>
  <c r="L116" i="9"/>
  <c r="N226" i="9" s="1"/>
  <c r="K107" i="9"/>
  <c r="L110" i="9"/>
  <c r="N220" i="9" s="1"/>
  <c r="M220" i="9"/>
  <c r="R75" i="9" l="1"/>
  <c r="E187" i="9"/>
  <c r="I169" i="9"/>
  <c r="J169" i="9" s="1"/>
  <c r="F109" i="9"/>
  <c r="G219" i="9" s="1"/>
  <c r="M81" i="9"/>
  <c r="N81" i="9" s="1"/>
  <c r="G224" i="9"/>
  <c r="G117" i="9"/>
  <c r="H227" i="9" s="1"/>
  <c r="M80" i="9"/>
  <c r="N80" i="9" s="1"/>
  <c r="M77" i="9"/>
  <c r="N77" i="9" s="1"/>
  <c r="M78" i="9"/>
  <c r="N78" i="9" s="1"/>
  <c r="F112" i="9"/>
  <c r="G112" i="9" s="1"/>
  <c r="H222" i="9" s="1"/>
  <c r="E156" i="9"/>
  <c r="M83" i="9"/>
  <c r="N83" i="9" s="1"/>
  <c r="F113" i="9"/>
  <c r="G223" i="9" s="1"/>
  <c r="F108" i="9"/>
  <c r="G218" i="9" s="1"/>
  <c r="M86" i="9"/>
  <c r="N86" i="9" s="1"/>
  <c r="F118" i="9"/>
  <c r="M79" i="9"/>
  <c r="N79" i="9" s="1"/>
  <c r="T70" i="9"/>
  <c r="E75" i="9"/>
  <c r="O91" i="9"/>
  <c r="N91" i="9"/>
  <c r="R91" i="9"/>
  <c r="D107" i="9"/>
  <c r="C217" i="9"/>
  <c r="C107" i="9"/>
  <c r="F111" i="9"/>
  <c r="C156" i="9"/>
  <c r="C158" i="9" s="1"/>
  <c r="C160" i="9"/>
  <c r="M76" i="9"/>
  <c r="N76" i="9" s="1"/>
  <c r="F110" i="9"/>
  <c r="C187" i="9"/>
  <c r="C192" i="9"/>
  <c r="D192" i="9" s="1"/>
  <c r="E107" i="9"/>
  <c r="F217" i="9" s="1"/>
  <c r="H91" i="9"/>
  <c r="G229" i="9"/>
  <c r="G119" i="9"/>
  <c r="H229" i="9" s="1"/>
  <c r="U91" i="9"/>
  <c r="E217" i="9"/>
  <c r="F115" i="9"/>
  <c r="F116" i="9"/>
  <c r="M84" i="9"/>
  <c r="N84" i="9" s="1"/>
  <c r="M217" i="9"/>
  <c r="L107" i="9"/>
  <c r="N217" i="9" s="1"/>
  <c r="E188" i="9" l="1"/>
  <c r="G109" i="9"/>
  <c r="H219" i="9" s="1"/>
  <c r="O75" i="9"/>
  <c r="S75" i="9"/>
  <c r="P75" i="9"/>
  <c r="G108" i="9"/>
  <c r="H218" i="9" s="1"/>
  <c r="G222" i="9"/>
  <c r="G113" i="9"/>
  <c r="H223" i="9" s="1"/>
  <c r="F107" i="9"/>
  <c r="G228" i="9"/>
  <c r="G118" i="9"/>
  <c r="H228" i="9" s="1"/>
  <c r="F192" i="9"/>
  <c r="E192" i="9"/>
  <c r="C208" i="9"/>
  <c r="G115" i="9"/>
  <c r="H225" i="9" s="1"/>
  <c r="G225" i="9"/>
  <c r="G116" i="9"/>
  <c r="H226" i="9" s="1"/>
  <c r="G226" i="9"/>
  <c r="G111" i="9"/>
  <c r="H221" i="9" s="1"/>
  <c r="G221" i="9"/>
  <c r="I75" i="9"/>
  <c r="K75" i="9"/>
  <c r="J75" i="9"/>
  <c r="Q75" i="9"/>
  <c r="C188" i="9"/>
  <c r="G220" i="9"/>
  <c r="G110" i="9"/>
  <c r="H220" i="9" s="1"/>
  <c r="G217" i="9" l="1"/>
  <c r="G107" i="9"/>
  <c r="H217" i="9" s="1"/>
  <c r="M75" i="9"/>
  <c r="N75" i="9" s="1"/>
</calcChain>
</file>

<file path=xl/sharedStrings.xml><?xml version="1.0" encoding="utf-8"?>
<sst xmlns="http://schemas.openxmlformats.org/spreadsheetml/2006/main" count="1400" uniqueCount="200">
  <si>
    <t>Référence de l'échantillon</t>
  </si>
  <si>
    <t>Tournée échantillonnée:</t>
  </si>
  <si>
    <t>Site d'échantillonnage</t>
  </si>
  <si>
    <t>Météo</t>
  </si>
  <si>
    <t>Données sur l'échantillon</t>
  </si>
  <si>
    <t>Date échantillonnage</t>
  </si>
  <si>
    <t>Masse échantillon secondaire</t>
  </si>
  <si>
    <t>kg</t>
  </si>
  <si>
    <t>Heure prélèvement</t>
  </si>
  <si>
    <t>Volume échantillon secondaire</t>
  </si>
  <si>
    <t>m3</t>
  </si>
  <si>
    <t xml:space="preserve">Densité échantillon secondaire </t>
  </si>
  <si>
    <t>T/m3</t>
  </si>
  <si>
    <t>Humidité globale :</t>
  </si>
  <si>
    <t>Résultats du tri l'échantillon</t>
  </si>
  <si>
    <t>Poids sec (g)</t>
  </si>
  <si>
    <t>Poids sec % par sous-catégories</t>
  </si>
  <si>
    <t>Poids humide % par sous-catégories</t>
  </si>
  <si>
    <t>Poids sec % par catégorie</t>
  </si>
  <si>
    <t>Poids humide % par catégorie</t>
  </si>
  <si>
    <t>Catégories</t>
  </si>
  <si>
    <t>Sous-catégories</t>
  </si>
  <si>
    <t>20 à 100 mm</t>
  </si>
  <si>
    <t>100 - 350 mm</t>
  </si>
  <si>
    <t>&gt;350 mm</t>
  </si>
  <si>
    <t>Total</t>
  </si>
  <si>
    <t>Déchets putrescibles</t>
  </si>
  <si>
    <t>Produits alimentaires non consommés</t>
  </si>
  <si>
    <t>Autres putrescibles</t>
  </si>
  <si>
    <t>Déchets de jardins ligneux</t>
  </si>
  <si>
    <t>Déchets de jardins non ligneux</t>
  </si>
  <si>
    <t>Papiers</t>
  </si>
  <si>
    <t>Emballages papier</t>
  </si>
  <si>
    <t>Journaux, magazines et revues</t>
  </si>
  <si>
    <t>Imprimés publicitaires</t>
  </si>
  <si>
    <t>Papiers bureautiques</t>
  </si>
  <si>
    <t xml:space="preserve">Autres papiers </t>
  </si>
  <si>
    <t>Cartons</t>
  </si>
  <si>
    <t>Emballages cartons plats</t>
  </si>
  <si>
    <t>Emballages cartons ondulés</t>
  </si>
  <si>
    <t>Autres cartons</t>
  </si>
  <si>
    <t>Complexes/ Composites</t>
  </si>
  <si>
    <t>Composites ELA (Tetrapack)</t>
  </si>
  <si>
    <t>Autres emballages composites</t>
  </si>
  <si>
    <t>Petits Appareils Electroménagers (PAM)</t>
  </si>
  <si>
    <t>Textiles</t>
  </si>
  <si>
    <t xml:space="preserve">Textiles </t>
  </si>
  <si>
    <t>Textiles sanitaires</t>
  </si>
  <si>
    <t>Textiles sanitaires fraction hygiénique</t>
  </si>
  <si>
    <t>Textiles sanitaires fraction papiers souillés</t>
  </si>
  <si>
    <t>Plastiques</t>
  </si>
  <si>
    <t>Films polyoléfines (PE et PP)</t>
  </si>
  <si>
    <t xml:space="preserve">Bouteilles et flacons en PET </t>
  </si>
  <si>
    <t>Bouteilles et flacons en polyoléfine (PEHD)</t>
  </si>
  <si>
    <t>Autres emballages plastiques</t>
  </si>
  <si>
    <t>Autres plastiques</t>
  </si>
  <si>
    <t>Combustibles non classés</t>
  </si>
  <si>
    <t>Verre</t>
  </si>
  <si>
    <t>Emballages en verre incolores et de couleur</t>
  </si>
  <si>
    <t>Autres déchets en verre</t>
  </si>
  <si>
    <t>Métaux</t>
  </si>
  <si>
    <t>Emballages métaux ferreux hors aérosols</t>
  </si>
  <si>
    <t>Emballages aluminium hors aérosols</t>
  </si>
  <si>
    <t>Aérosols ferreux non dangereux</t>
  </si>
  <si>
    <t>Aérosols aluminium non dangereux</t>
  </si>
  <si>
    <t>Autres métaux ferreux</t>
  </si>
  <si>
    <t xml:space="preserve">Autres métaux </t>
  </si>
  <si>
    <t>Incombustibles non classés</t>
  </si>
  <si>
    <t xml:space="preserve">Emballages incombustibles </t>
  </si>
  <si>
    <t>Déchets ménagers spéciaux</t>
  </si>
  <si>
    <t>Tubes fluorescents et ampoules basse consommation</t>
  </si>
  <si>
    <t>Aérosols dangereux</t>
  </si>
  <si>
    <t>Piles et accumulateurs</t>
  </si>
  <si>
    <t>Autres déchets ménagers spéciaux</t>
  </si>
  <si>
    <t>Eléments fins &lt; 20 mm</t>
  </si>
  <si>
    <t>Répartition fractions granulométriques:</t>
  </si>
  <si>
    <t>Global</t>
  </si>
  <si>
    <t>Moy. Paris</t>
  </si>
  <si>
    <t>Moy. Banlieue</t>
  </si>
  <si>
    <t>Humidité globale</t>
  </si>
  <si>
    <t>sec</t>
  </si>
  <si>
    <t>humide</t>
  </si>
  <si>
    <t>Déchets Putrescibles</t>
  </si>
  <si>
    <t>Composites</t>
  </si>
  <si>
    <t>MODECOM 2007</t>
  </si>
  <si>
    <t>SYCTOM</t>
  </si>
  <si>
    <t>Moyenne</t>
  </si>
  <si>
    <t>Min</t>
  </si>
  <si>
    <t>Max</t>
  </si>
  <si>
    <t>Ecart-type absolu</t>
  </si>
  <si>
    <t>Ecart-type relatif</t>
  </si>
  <si>
    <t>Banlieue</t>
  </si>
  <si>
    <t>Paris</t>
  </si>
  <si>
    <t>Min.</t>
  </si>
  <si>
    <t>Max.</t>
  </si>
  <si>
    <t>Ecart-type</t>
  </si>
  <si>
    <t>OMR</t>
  </si>
  <si>
    <t>Potentiel minimum</t>
  </si>
  <si>
    <t>Potentiel intermédiaire</t>
  </si>
  <si>
    <t>Potentiel maximum</t>
  </si>
  <si>
    <t>moy modecom humide</t>
  </si>
  <si>
    <t>Sous-total autres déchets pouvant être orientés vers d'autres collecte</t>
  </si>
  <si>
    <t>Sous-total déchets visés par les consignes de tri (bac jaune ou bac et colonnes verre)</t>
  </si>
  <si>
    <t>UCL +</t>
  </si>
  <si>
    <t>UCL-</t>
  </si>
  <si>
    <t>UCL</t>
  </si>
  <si>
    <t>Chebyshev SYCTOM</t>
  </si>
  <si>
    <t xml:space="preserve">Poids sec % </t>
  </si>
  <si>
    <t xml:space="preserve">Poids humide % </t>
  </si>
  <si>
    <t>Combustibles</t>
  </si>
  <si>
    <t xml:space="preserve">Incombustibles </t>
  </si>
  <si>
    <t>combustibles</t>
  </si>
  <si>
    <t>incombustibles</t>
  </si>
  <si>
    <t>Erreur absolue</t>
  </si>
  <si>
    <t>Erreur relative</t>
  </si>
  <si>
    <t>banlieue</t>
  </si>
  <si>
    <t>paris</t>
  </si>
  <si>
    <t>écart MODECOM</t>
  </si>
  <si>
    <t>écart MODECOM banlieue</t>
  </si>
  <si>
    <t>Déchets alimentaires (non consommables)</t>
  </si>
  <si>
    <t>câbles électriques</t>
  </si>
  <si>
    <t>Produits diffus spécifiques</t>
  </si>
  <si>
    <t>Déchets d'activités de soins perforants</t>
  </si>
  <si>
    <t>Huiles minérales</t>
  </si>
  <si>
    <t>Cartouche d'impression</t>
  </si>
  <si>
    <t>Bouteille de gaz</t>
  </si>
  <si>
    <t>Médicaments non utilisés</t>
  </si>
  <si>
    <t>Combustibles NC</t>
  </si>
  <si>
    <t>Autres verre</t>
  </si>
  <si>
    <t>Incombustibles NC</t>
  </si>
  <si>
    <t>Câbles électriques</t>
  </si>
  <si>
    <t xml:space="preserve">Collecte sélective </t>
  </si>
  <si>
    <t>SYCTOM 2014</t>
  </si>
  <si>
    <t>écart paris banlieue</t>
  </si>
  <si>
    <t>intervalle banlieue</t>
  </si>
  <si>
    <t>intervalle paris</t>
  </si>
  <si>
    <t>Echantillon</t>
  </si>
  <si>
    <t>Poids échantillon humide</t>
  </si>
  <si>
    <t>Masse mise en étuve</t>
  </si>
  <si>
    <t>Vérif</t>
  </si>
  <si>
    <t>Poids sorti étuve</t>
  </si>
  <si>
    <t>Produits dangereux</t>
  </si>
  <si>
    <t>eau dans les bouteilles =bouteilles pleines-bouteilles vides)</t>
  </si>
  <si>
    <t>Aérosols</t>
  </si>
  <si>
    <t>Hétéroclites</t>
  </si>
  <si>
    <t>Poids échantillon sec</t>
  </si>
  <si>
    <t>VERIF poids sec recalculé</t>
  </si>
  <si>
    <t>VERIF</t>
  </si>
  <si>
    <t>Taux d’humidité</t>
  </si>
  <si>
    <t>VERIF Taux d’humidité</t>
  </si>
  <si>
    <t>H15</t>
  </si>
  <si>
    <t>ISS PB BAN</t>
  </si>
  <si>
    <t>ISS PC BAN</t>
  </si>
  <si>
    <t>ISS  PB PAR</t>
  </si>
  <si>
    <t>ISS  PC PAR</t>
  </si>
  <si>
    <t>IVR  PB BAN</t>
  </si>
  <si>
    <t>IVR PC BAN</t>
  </si>
  <si>
    <t>IVR  PB PAR</t>
  </si>
  <si>
    <t>IVR  PC PAR</t>
  </si>
  <si>
    <t>ROM  PB BAN</t>
  </si>
  <si>
    <t>ROM PC BAN</t>
  </si>
  <si>
    <t>ROM  PB PAR</t>
  </si>
  <si>
    <t>ROM  PC PAR</t>
  </si>
  <si>
    <t>STO  PB BAN</t>
  </si>
  <si>
    <t>STO PC BAN</t>
  </si>
  <si>
    <t>STO  PB PAR</t>
  </si>
  <si>
    <t>STO  PC PAR</t>
  </si>
  <si>
    <t>P15</t>
  </si>
  <si>
    <t>STO  PB PAR 1</t>
  </si>
  <si>
    <t>STO  PC PAR 1</t>
  </si>
  <si>
    <t>STO  PB PAR 2</t>
  </si>
  <si>
    <t>STO  PC PAR 2</t>
  </si>
  <si>
    <t>E15</t>
  </si>
  <si>
    <t>A15</t>
  </si>
  <si>
    <t>Site</t>
  </si>
  <si>
    <t>échantillon</t>
  </si>
  <si>
    <t>A
(=B+C)
poids échantillon humide</t>
  </si>
  <si>
    <t>B
masse mise en étuve</t>
  </si>
  <si>
    <t>C
produits non-mis en étuve</t>
  </si>
  <si>
    <t>D
masse sèche sortie d'étuve</t>
  </si>
  <si>
    <t xml:space="preserve">E
poids échantillon sec
(= D+C2
+C3+C4)
</t>
  </si>
  <si>
    <t>Taux d'humidité
(= (A-E)/A)</t>
  </si>
  <si>
    <t>C1
eau des bouteilles pleines</t>
  </si>
  <si>
    <t>C2
produits dangereux</t>
  </si>
  <si>
    <t>C3
aérosols</t>
  </si>
  <si>
    <t>C4
hétéroclites</t>
  </si>
  <si>
    <t>verif</t>
  </si>
  <si>
    <t>valeurs tableaux au-dessus</t>
  </si>
  <si>
    <t>Isséane</t>
  </si>
  <si>
    <t>moyenne</t>
  </si>
  <si>
    <t>Ivry</t>
  </si>
  <si>
    <t>Romainville</t>
  </si>
  <si>
    <t>Saint-Ouen</t>
  </si>
  <si>
    <t>Moyenne banlieue</t>
  </si>
  <si>
    <t>Moyenne Pairs</t>
  </si>
  <si>
    <t>ts bassins</t>
  </si>
  <si>
    <t>moy PB</t>
  </si>
  <si>
    <t>moy PC</t>
  </si>
  <si>
    <t>SYCTOM automne 2015</t>
  </si>
  <si>
    <t>Syctom A15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</si>
</sst>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h:mm;@"/>
    <numFmt numFmtId="165" formatCode="0.0%"/>
    <numFmt numFmtId="166" formatCode="0.000%"/>
    <numFmt numFmtId="167" formatCode="0.0"/>
    <numFmt numFmtId="168" formatCode="#,##0.0_ ;\-#,##0.0\ "/>
    <numFmt numFmtId="169" formatCode="_-* #,##0.0\ _€_-;\-* #,##0.0\ _€_-;_-* &quot;-&quot;??\ _€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i/>
      <sz val="10"/>
      <color theme="9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1"/>
      <color indexed="60"/>
      <name val="Calibri"/>
      <family val="2"/>
    </font>
    <font>
      <sz val="12"/>
      <color theme="1"/>
      <name val="Cambri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/>
      <name val="Calibri"/>
      <family val="2"/>
      <scheme val="minor"/>
    </font>
    <font>
      <sz val="10"/>
      <name val="Arial"/>
    </font>
    <font>
      <b/>
      <sz val="9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2D69A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medium">
        <color rgb="FFC2D69A"/>
      </left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 style="medium">
        <color rgb="FFC2D69A"/>
      </bottom>
      <diagonal/>
    </border>
    <border>
      <left/>
      <right style="medium">
        <color rgb="FFC2D69A"/>
      </right>
      <top/>
      <bottom/>
      <diagonal/>
    </border>
    <border>
      <left/>
      <right/>
      <top/>
      <bottom style="medium">
        <color rgb="FFEAF1DD"/>
      </bottom>
      <diagonal/>
    </border>
    <border>
      <left/>
      <right style="thin">
        <color theme="6"/>
      </right>
      <top/>
      <bottom/>
      <diagonal/>
    </border>
    <border>
      <left style="thin">
        <color rgb="FF9BBB59"/>
      </left>
      <right/>
      <top style="thin">
        <color theme="0"/>
      </top>
      <bottom style="thin">
        <color rgb="FF9BBB59"/>
      </bottom>
      <diagonal/>
    </border>
    <border>
      <left style="thin">
        <color rgb="FF9BBB59"/>
      </left>
      <right/>
      <top/>
      <bottom style="thin">
        <color rgb="FF9BBB59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double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 style="double">
        <color theme="6"/>
      </right>
      <top style="thin">
        <color theme="6"/>
      </top>
      <bottom style="thin">
        <color theme="6"/>
      </bottom>
      <diagonal/>
    </border>
    <border>
      <left/>
      <right style="double">
        <color theme="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rgb="FFEAF1DD"/>
      </left>
      <right style="thin">
        <color rgb="FFEAF1DD"/>
      </right>
      <top/>
      <bottom style="thin">
        <color rgb="FFEAF1DD"/>
      </bottom>
      <diagonal/>
    </border>
    <border>
      <left style="medium">
        <color theme="6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 style="medium">
        <color theme="6"/>
      </top>
      <bottom style="thin">
        <color theme="6" tint="0.79998168889431442"/>
      </bottom>
      <diagonal/>
    </border>
    <border>
      <left style="thin">
        <color theme="6" tint="0.79998168889431442"/>
      </left>
      <right style="medium">
        <color theme="6"/>
      </right>
      <top style="medium">
        <color theme="6"/>
      </top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/>
      <diagonal/>
    </border>
    <border>
      <left style="thin">
        <color theme="6"/>
      </left>
      <right style="medium">
        <color theme="6"/>
      </right>
      <top/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/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 style="thin">
        <color theme="6" tint="0.79998168889431442"/>
      </right>
      <top/>
      <bottom style="thin">
        <color theme="6" tint="0.79998168889431442"/>
      </bottom>
      <diagonal/>
    </border>
    <border>
      <left style="medium">
        <color theme="6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 style="medium">
        <color rgb="FFC2D69A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theme="6"/>
      </left>
      <right/>
      <top/>
      <bottom style="medium">
        <color rgb="FFEAF1DD"/>
      </bottom>
      <diagonal/>
    </border>
    <border>
      <left style="thin">
        <color rgb="FFEAF1DD"/>
      </left>
      <right style="medium">
        <color theme="6"/>
      </right>
      <top/>
      <bottom style="thin">
        <color rgb="FFEAF1DD"/>
      </bottom>
      <diagonal/>
    </border>
    <border>
      <left style="medium">
        <color theme="6"/>
      </left>
      <right/>
      <top style="medium">
        <color rgb="FFEAF1DD"/>
      </top>
      <bottom style="medium">
        <color theme="6"/>
      </bottom>
      <diagonal/>
    </border>
    <border>
      <left/>
      <right style="thin">
        <color rgb="FFEAF1DD"/>
      </right>
      <top style="medium">
        <color rgb="FFEAF1DD"/>
      </top>
      <bottom style="medium">
        <color theme="6"/>
      </bottom>
      <diagonal/>
    </border>
    <border>
      <left style="thin">
        <color rgb="FFEAF1DD"/>
      </left>
      <right style="thin">
        <color rgb="FFEAF1DD"/>
      </right>
      <top style="thin">
        <color rgb="FFEAF1DD"/>
      </top>
      <bottom style="medium">
        <color theme="6"/>
      </bottom>
      <diagonal/>
    </border>
    <border>
      <left style="thin">
        <color rgb="FFEAF1DD"/>
      </left>
      <right style="medium">
        <color theme="6"/>
      </right>
      <top style="thin">
        <color rgb="FFEAF1DD"/>
      </top>
      <bottom style="medium">
        <color theme="6"/>
      </bottom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8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4" fillId="0" borderId="34" applyNumberFormat="0" applyFill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29" fillId="28" borderId="35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6" fillId="10" borderId="0" applyNumberFormat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29" borderId="0" applyNumberFormat="0" applyBorder="0" applyAlignment="0" applyProtection="0"/>
    <xf numFmtId="0" fontId="30" fillId="0" borderId="0"/>
    <xf numFmtId="0" fontId="30" fillId="0" borderId="0"/>
    <xf numFmtId="0" fontId="1" fillId="0" borderId="0"/>
    <xf numFmtId="0" fontId="10" fillId="0" borderId="0"/>
    <xf numFmtId="0" fontId="29" fillId="0" borderId="0"/>
    <xf numFmtId="0" fontId="29" fillId="0" borderId="0"/>
    <xf numFmtId="0" fontId="37" fillId="0" borderId="0"/>
    <xf numFmtId="0" fontId="39" fillId="0" borderId="0"/>
    <xf numFmtId="9" fontId="1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" fillId="0" borderId="0" applyFill="0" applyBorder="0" applyAlignment="0" applyProtection="0"/>
    <xf numFmtId="9" fontId="37" fillId="0" borderId="0" applyFont="0" applyFill="0" applyBorder="0" applyAlignment="0" applyProtection="0"/>
    <xf numFmtId="0" fontId="40" fillId="11" borderId="0" applyNumberFormat="0" applyBorder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7" applyNumberFormat="0" applyFill="0" applyAlignment="0" applyProtection="0"/>
    <xf numFmtId="0" fontId="45" fillId="0" borderId="38" applyNumberFormat="0" applyFill="0" applyAlignment="0" applyProtection="0"/>
    <xf numFmtId="0" fontId="46" fillId="0" borderId="3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8" fillId="30" borderId="41" applyNumberFormat="0" applyAlignment="0" applyProtection="0"/>
    <xf numFmtId="0" fontId="29" fillId="0" borderId="0"/>
    <xf numFmtId="43" fontId="10" fillId="0" borderId="0" applyFont="0" applyFill="0" applyBorder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9" fillId="0" borderId="0"/>
    <xf numFmtId="0" fontId="1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33" fillId="27" borderId="33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10" fillId="28" borderId="35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35" fillId="14" borderId="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1" fillId="27" borderId="36" applyNumberFormat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47" fillId="0" borderId="40" applyNumberFormat="0" applyFill="0" applyAlignment="0" applyProtection="0"/>
    <xf numFmtId="0" fontId="52" fillId="0" borderId="0"/>
    <xf numFmtId="9" fontId="52" fillId="0" borderId="0" applyFont="0" applyFill="0" applyBorder="0" applyAlignment="0" applyProtection="0"/>
    <xf numFmtId="9" fontId="52" fillId="0" borderId="0" applyFill="0" applyBorder="0" applyAlignment="0" applyProtection="0"/>
    <xf numFmtId="0" fontId="53" fillId="0" borderId="0"/>
    <xf numFmtId="0" fontId="55" fillId="0" borderId="0"/>
  </cellStyleXfs>
  <cellXfs count="437">
    <xf numFmtId="0" fontId="0" fillId="0" borderId="0" xfId="0"/>
    <xf numFmtId="0" fontId="3" fillId="0" borderId="0" xfId="0" applyFont="1"/>
    <xf numFmtId="0" fontId="5" fillId="0" borderId="0" xfId="0" applyFont="1" applyAlignme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165" fontId="3" fillId="0" borderId="4" xfId="0" applyNumberFormat="1" applyFont="1" applyBorder="1"/>
    <xf numFmtId="0" fontId="3" fillId="0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9" fillId="0" borderId="2" xfId="0" applyFont="1" applyBorder="1" applyAlignment="1"/>
    <xf numFmtId="0" fontId="3" fillId="0" borderId="1" xfId="0" applyFont="1" applyBorder="1" applyAlignment="1">
      <alignment wrapText="1"/>
    </xf>
    <xf numFmtId="0" fontId="0" fillId="0" borderId="4" xfId="0" applyBorder="1"/>
    <xf numFmtId="0" fontId="3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Border="1"/>
    <xf numFmtId="165" fontId="0" fillId="0" borderId="4" xfId="0" applyNumberForma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5" fillId="0" borderId="14" xfId="0" applyFont="1" applyBorder="1"/>
    <xf numFmtId="10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15" fillId="5" borderId="14" xfId="0" applyFont="1" applyFill="1" applyBorder="1"/>
    <xf numFmtId="10" fontId="0" fillId="5" borderId="14" xfId="0" applyNumberFormat="1" applyFill="1" applyBorder="1" applyAlignment="1">
      <alignment horizontal="center"/>
    </xf>
    <xf numFmtId="165" fontId="0" fillId="5" borderId="14" xfId="0" applyNumberFormat="1" applyFill="1" applyBorder="1" applyAlignment="1">
      <alignment horizontal="center"/>
    </xf>
    <xf numFmtId="165" fontId="0" fillId="5" borderId="14" xfId="1" applyNumberFormat="1" applyFont="1" applyFill="1" applyBorder="1" applyAlignment="1">
      <alignment horizontal="center"/>
    </xf>
    <xf numFmtId="9" fontId="0" fillId="5" borderId="14" xfId="1" applyFont="1" applyFill="1" applyBorder="1" applyAlignment="1">
      <alignment horizontal="center"/>
    </xf>
    <xf numFmtId="165" fontId="0" fillId="5" borderId="15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vertical="center"/>
    </xf>
    <xf numFmtId="165" fontId="0" fillId="0" borderId="13" xfId="0" applyNumberFormat="1" applyBorder="1" applyAlignment="1">
      <alignment horizontal="center"/>
    </xf>
    <xf numFmtId="9" fontId="0" fillId="0" borderId="0" xfId="1" applyFont="1"/>
    <xf numFmtId="0" fontId="16" fillId="0" borderId="0" xfId="0" applyFont="1"/>
    <xf numFmtId="0" fontId="16" fillId="0" borderId="15" xfId="0" applyFont="1" applyBorder="1"/>
    <xf numFmtId="165" fontId="16" fillId="0" borderId="16" xfId="0" applyNumberFormat="1" applyFont="1" applyBorder="1" applyAlignment="1">
      <alignment horizontal="center"/>
    </xf>
    <xf numFmtId="165" fontId="16" fillId="0" borderId="17" xfId="0" applyNumberFormat="1" applyFont="1" applyBorder="1" applyAlignment="1">
      <alignment horizontal="center"/>
    </xf>
    <xf numFmtId="0" fontId="16" fillId="5" borderId="15" xfId="0" applyFont="1" applyFill="1" applyBorder="1"/>
    <xf numFmtId="165" fontId="16" fillId="5" borderId="16" xfId="0" applyNumberFormat="1" applyFont="1" applyFill="1" applyBorder="1" applyAlignment="1">
      <alignment horizontal="center"/>
    </xf>
    <xf numFmtId="165" fontId="16" fillId="5" borderId="17" xfId="0" applyNumberFormat="1" applyFont="1" applyFill="1" applyBorder="1" applyAlignment="1">
      <alignment horizontal="center"/>
    </xf>
    <xf numFmtId="0" fontId="18" fillId="0" borderId="15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left" vertical="center" wrapText="1"/>
    </xf>
    <xf numFmtId="165" fontId="19" fillId="0" borderId="14" xfId="1" applyNumberFormat="1" applyFont="1" applyBorder="1" applyAlignment="1">
      <alignment horizontal="center" vertical="center"/>
    </xf>
    <xf numFmtId="165" fontId="0" fillId="5" borderId="14" xfId="0" applyNumberFormat="1" applyFill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15" fillId="0" borderId="16" xfId="1" applyNumberFormat="1" applyFont="1" applyBorder="1" applyAlignment="1">
      <alignment horizontal="center" vertical="center"/>
    </xf>
    <xf numFmtId="165" fontId="15" fillId="8" borderId="14" xfId="1" applyNumberFormat="1" applyFont="1" applyFill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165" fontId="15" fillId="0" borderId="14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10" fontId="22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10" fontId="21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/>
    <xf numFmtId="0" fontId="19" fillId="0" borderId="0" xfId="0" applyFont="1" applyFill="1" applyBorder="1" applyAlignment="1">
      <alignment wrapText="1"/>
    </xf>
    <xf numFmtId="0" fontId="15" fillId="8" borderId="19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165" fontId="0" fillId="0" borderId="16" xfId="0" applyNumberFormat="1" applyFont="1" applyBorder="1" applyAlignment="1">
      <alignment horizontal="center" vertical="center"/>
    </xf>
    <xf numFmtId="9" fontId="16" fillId="0" borderId="29" xfId="1" applyFont="1" applyBorder="1" applyAlignment="1">
      <alignment horizontal="center"/>
    </xf>
    <xf numFmtId="9" fontId="16" fillId="5" borderId="29" xfId="1" applyFont="1" applyFill="1" applyBorder="1" applyAlignment="1">
      <alignment horizontal="center"/>
    </xf>
    <xf numFmtId="165" fontId="16" fillId="0" borderId="30" xfId="1" applyNumberFormat="1" applyFont="1" applyBorder="1" applyAlignment="1">
      <alignment horizontal="center"/>
    </xf>
    <xf numFmtId="165" fontId="16" fillId="5" borderId="30" xfId="1" applyNumberFormat="1" applyFont="1" applyFill="1" applyBorder="1" applyAlignment="1">
      <alignment horizontal="center"/>
    </xf>
    <xf numFmtId="9" fontId="16" fillId="0" borderId="30" xfId="1" applyFont="1" applyBorder="1" applyAlignment="1">
      <alignment horizontal="center"/>
    </xf>
    <xf numFmtId="165" fontId="16" fillId="5" borderId="3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14" xfId="0" applyFill="1" applyBorder="1"/>
    <xf numFmtId="0" fontId="13" fillId="7" borderId="14" xfId="0" applyFont="1" applyFill="1" applyBorder="1" applyAlignment="1">
      <alignment horizontal="center" vertical="center" wrapText="1"/>
    </xf>
    <xf numFmtId="0" fontId="2" fillId="4" borderId="14" xfId="0" applyFont="1" applyFill="1" applyBorder="1"/>
    <xf numFmtId="0" fontId="9" fillId="5" borderId="14" xfId="0" applyFont="1" applyFill="1" applyBorder="1" applyAlignment="1"/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 vertical="center"/>
    </xf>
    <xf numFmtId="165" fontId="0" fillId="5" borderId="14" xfId="1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165" fontId="14" fillId="3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0" fontId="0" fillId="4" borderId="15" xfId="0" applyFill="1" applyBorder="1" applyAlignment="1"/>
    <xf numFmtId="0" fontId="0" fillId="4" borderId="15" xfId="0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4" fillId="4" borderId="15" xfId="0" applyFont="1" applyFill="1" applyBorder="1" applyAlignment="1">
      <alignment vertical="center"/>
    </xf>
    <xf numFmtId="2" fontId="2" fillId="4" borderId="15" xfId="0" applyNumberFormat="1" applyFont="1" applyFill="1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165" fontId="0" fillId="0" borderId="14" xfId="0" applyNumberForma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0" fillId="0" borderId="14" xfId="1" applyNumberFormat="1" applyFont="1" applyBorder="1"/>
    <xf numFmtId="165" fontId="0" fillId="5" borderId="14" xfId="1" applyNumberFormat="1" applyFont="1" applyFill="1" applyBorder="1"/>
    <xf numFmtId="0" fontId="19" fillId="4" borderId="14" xfId="0" applyFont="1" applyFill="1" applyBorder="1" applyAlignment="1">
      <alignment horizontal="center" vertical="center" wrapText="1"/>
    </xf>
    <xf numFmtId="9" fontId="15" fillId="0" borderId="14" xfId="1" applyFont="1" applyBorder="1" applyAlignment="1">
      <alignment horizontal="center" vertical="center"/>
    </xf>
    <xf numFmtId="9" fontId="15" fillId="5" borderId="14" xfId="1" applyFont="1" applyFill="1" applyBorder="1" applyAlignment="1">
      <alignment horizontal="center" vertical="center"/>
    </xf>
    <xf numFmtId="165" fontId="15" fillId="5" borderId="14" xfId="0" applyNumberFormat="1" applyFont="1" applyFill="1" applyBorder="1" applyAlignment="1">
      <alignment horizontal="center" vertical="center"/>
    </xf>
    <xf numFmtId="9" fontId="19" fillId="5" borderId="14" xfId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6" borderId="44" xfId="0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 wrapText="1"/>
    </xf>
    <xf numFmtId="9" fontId="15" fillId="0" borderId="14" xfId="0" applyNumberFormat="1" applyFont="1" applyBorder="1" applyAlignment="1">
      <alignment horizontal="center" vertical="center"/>
    </xf>
    <xf numFmtId="9" fontId="15" fillId="5" borderId="14" xfId="0" applyNumberFormat="1" applyFont="1" applyFill="1" applyBorder="1" applyAlignment="1">
      <alignment horizontal="center" vertical="center"/>
    </xf>
    <xf numFmtId="165" fontId="15" fillId="0" borderId="19" xfId="0" applyNumberFormat="1" applyFont="1" applyBorder="1" applyAlignment="1">
      <alignment horizontal="center" vertical="center"/>
    </xf>
    <xf numFmtId="165" fontId="15" fillId="5" borderId="19" xfId="0" applyNumberFormat="1" applyFont="1" applyFill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5" borderId="45" xfId="0" applyNumberFormat="1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9" fontId="16" fillId="0" borderId="17" xfId="1" applyFont="1" applyBorder="1" applyAlignment="1">
      <alignment horizontal="center"/>
    </xf>
    <xf numFmtId="9" fontId="16" fillId="5" borderId="15" xfId="1" applyFont="1" applyFill="1" applyBorder="1" applyAlignment="1">
      <alignment horizontal="center"/>
    </xf>
    <xf numFmtId="9" fontId="16" fillId="0" borderId="15" xfId="1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43" fontId="2" fillId="0" borderId="0" xfId="340" applyFont="1"/>
    <xf numFmtId="0" fontId="2" fillId="31" borderId="14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165" fontId="0" fillId="5" borderId="14" xfId="0" applyNumberFormat="1" applyFont="1" applyFill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65" fontId="21" fillId="31" borderId="24" xfId="0" applyNumberFormat="1" applyFont="1" applyFill="1" applyBorder="1" applyAlignment="1">
      <alignment horizontal="center" vertical="center"/>
    </xf>
    <xf numFmtId="165" fontId="21" fillId="31" borderId="25" xfId="0" applyNumberFormat="1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left" vertical="center" wrapText="1"/>
    </xf>
    <xf numFmtId="165" fontId="0" fillId="8" borderId="14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0" fontId="19" fillId="5" borderId="14" xfId="0" applyFont="1" applyFill="1" applyBorder="1"/>
    <xf numFmtId="0" fontId="19" fillId="5" borderId="14" xfId="0" applyFont="1" applyFill="1" applyBorder="1" applyAlignment="1">
      <alignment horizontal="center" vertical="center"/>
    </xf>
    <xf numFmtId="9" fontId="16" fillId="0" borderId="16" xfId="1" applyFont="1" applyBorder="1" applyAlignment="1">
      <alignment horizontal="center"/>
    </xf>
    <xf numFmtId="9" fontId="16" fillId="5" borderId="14" xfId="1" applyFont="1" applyFill="1" applyBorder="1" applyAlignment="1">
      <alignment horizontal="center"/>
    </xf>
    <xf numFmtId="9" fontId="16" fillId="0" borderId="14" xfId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9" fontId="1" fillId="0" borderId="0" xfId="1" applyFont="1"/>
    <xf numFmtId="9" fontId="2" fillId="0" borderId="0" xfId="1" applyFont="1"/>
    <xf numFmtId="165" fontId="51" fillId="0" borderId="14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9" fontId="0" fillId="0" borderId="16" xfId="1" applyFont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165" fontId="18" fillId="0" borderId="32" xfId="0" applyNumberFormat="1" applyFont="1" applyBorder="1" applyAlignment="1">
      <alignment horizontal="center"/>
    </xf>
    <xf numFmtId="165" fontId="51" fillId="0" borderId="16" xfId="0" applyNumberFormat="1" applyFont="1" applyBorder="1" applyAlignment="1">
      <alignment horizontal="center"/>
    </xf>
    <xf numFmtId="0" fontId="17" fillId="31" borderId="14" xfId="0" applyFont="1" applyFill="1" applyBorder="1" applyAlignment="1">
      <alignment horizontal="center" vertical="center" wrapText="1"/>
    </xf>
    <xf numFmtId="0" fontId="17" fillId="31" borderId="14" xfId="0" applyFont="1" applyFill="1" applyBorder="1" applyAlignment="1">
      <alignment horizontal="center" vertical="center"/>
    </xf>
    <xf numFmtId="165" fontId="51" fillId="5" borderId="14" xfId="0" applyNumberFormat="1" applyFont="1" applyFill="1" applyBorder="1" applyAlignment="1">
      <alignment horizontal="center"/>
    </xf>
    <xf numFmtId="165" fontId="18" fillId="5" borderId="32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center"/>
    </xf>
    <xf numFmtId="0" fontId="9" fillId="5" borderId="0" xfId="0" applyFont="1" applyFill="1" applyBorder="1" applyAlignment="1"/>
    <xf numFmtId="0" fontId="3" fillId="5" borderId="0" xfId="0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 vertical="center"/>
    </xf>
    <xf numFmtId="165" fontId="0" fillId="5" borderId="0" xfId="1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4" xfId="0" applyNumberFormat="1" applyFont="1" applyBorder="1"/>
    <xf numFmtId="165" fontId="3" fillId="5" borderId="19" xfId="0" applyNumberFormat="1" applyFont="1" applyFill="1" applyBorder="1" applyAlignment="1">
      <alignment horizontal="center" vertical="center"/>
    </xf>
    <xf numFmtId="165" fontId="15" fillId="0" borderId="4" xfId="0" applyNumberFormat="1" applyFont="1" applyBorder="1"/>
    <xf numFmtId="0" fontId="14" fillId="0" borderId="20" xfId="0" applyFont="1" applyFill="1" applyBorder="1" applyAlignment="1">
      <alignment horizontal="left" vertical="center" wrapText="1"/>
    </xf>
    <xf numFmtId="165" fontId="0" fillId="0" borderId="23" xfId="0" applyNumberFormat="1" applyFill="1" applyBorder="1" applyAlignment="1">
      <alignment horizontal="center" vertical="center"/>
    </xf>
    <xf numFmtId="165" fontId="21" fillId="31" borderId="52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8" borderId="14" xfId="0" applyFont="1" applyFill="1" applyBorder="1" applyAlignment="1">
      <alignment horizontal="left" vertical="center" wrapText="1"/>
    </xf>
    <xf numFmtId="165" fontId="0" fillId="8" borderId="14" xfId="0" applyNumberForma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/>
    </xf>
    <xf numFmtId="0" fontId="19" fillId="5" borderId="15" xfId="0" applyFont="1" applyFill="1" applyBorder="1" applyAlignment="1">
      <alignment vertical="center"/>
    </xf>
    <xf numFmtId="0" fontId="19" fillId="5" borderId="19" xfId="0" applyFont="1" applyFill="1" applyBorder="1" applyAlignment="1">
      <alignment horizontal="center" vertical="center"/>
    </xf>
    <xf numFmtId="165" fontId="15" fillId="0" borderId="18" xfId="1" applyNumberFormat="1" applyFont="1" applyBorder="1" applyAlignment="1">
      <alignment horizontal="center" vertical="center"/>
    </xf>
    <xf numFmtId="165" fontId="15" fillId="0" borderId="19" xfId="1" applyNumberFormat="1" applyFont="1" applyBorder="1" applyAlignment="1">
      <alignment horizontal="center" vertical="center"/>
    </xf>
    <xf numFmtId="165" fontId="15" fillId="8" borderId="19" xfId="1" applyNumberFormat="1" applyFont="1" applyFill="1" applyBorder="1" applyAlignment="1">
      <alignment horizontal="center" vertical="center"/>
    </xf>
    <xf numFmtId="165" fontId="19" fillId="0" borderId="19" xfId="1" applyNumberFormat="1" applyFont="1" applyBorder="1" applyAlignment="1">
      <alignment horizontal="center" vertical="center"/>
    </xf>
    <xf numFmtId="0" fontId="15" fillId="8" borderId="14" xfId="0" applyFont="1" applyFill="1" applyBorder="1"/>
    <xf numFmtId="165" fontId="15" fillId="8" borderId="18" xfId="1" applyNumberFormat="1" applyFont="1" applyFill="1" applyBorder="1" applyAlignment="1">
      <alignment horizontal="center" vertical="center"/>
    </xf>
    <xf numFmtId="165" fontId="15" fillId="8" borderId="16" xfId="1" applyNumberFormat="1" applyFont="1" applyFill="1" applyBorder="1" applyAlignment="1">
      <alignment horizontal="center" vertical="center"/>
    </xf>
    <xf numFmtId="0" fontId="19" fillId="5" borderId="0" xfId="0" applyFont="1" applyFill="1" applyAlignment="1"/>
    <xf numFmtId="165" fontId="0" fillId="35" borderId="4" xfId="0" applyNumberFormat="1" applyFill="1" applyBorder="1" applyAlignment="1">
      <alignment horizontal="center" vertical="center"/>
    </xf>
    <xf numFmtId="0" fontId="13" fillId="32" borderId="14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9" fillId="31" borderId="14" xfId="0" applyFont="1" applyFill="1" applyBorder="1" applyAlignment="1">
      <alignment horizontal="left" vertical="center"/>
    </xf>
    <xf numFmtId="0" fontId="0" fillId="31" borderId="14" xfId="0" applyFill="1" applyBorder="1"/>
    <xf numFmtId="0" fontId="2" fillId="31" borderId="14" xfId="0" applyFont="1" applyFill="1" applyBorder="1"/>
    <xf numFmtId="0" fontId="14" fillId="5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32" borderId="2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25" fillId="32" borderId="53" xfId="0" applyFont="1" applyFill="1" applyBorder="1" applyAlignment="1">
      <alignment horizontal="center" vertical="center" wrapText="1"/>
    </xf>
    <xf numFmtId="0" fontId="25" fillId="32" borderId="54" xfId="0" applyFont="1" applyFill="1" applyBorder="1" applyAlignment="1">
      <alignment horizontal="center" vertical="center" wrapText="1"/>
    </xf>
    <xf numFmtId="0" fontId="2" fillId="31" borderId="54" xfId="0" applyFont="1" applyFill="1" applyBorder="1" applyAlignment="1">
      <alignment horizontal="center" vertical="center"/>
    </xf>
    <xf numFmtId="0" fontId="2" fillId="31" borderId="55" xfId="0" applyFont="1" applyFill="1" applyBorder="1" applyAlignment="1">
      <alignment horizontal="center" vertical="center"/>
    </xf>
    <xf numFmtId="165" fontId="0" fillId="0" borderId="57" xfId="0" applyNumberFormat="1" applyFont="1" applyBorder="1" applyAlignment="1">
      <alignment horizontal="center" vertical="center"/>
    </xf>
    <xf numFmtId="165" fontId="0" fillId="8" borderId="59" xfId="0" applyNumberFormat="1" applyFont="1" applyFill="1" applyBorder="1" applyAlignment="1">
      <alignment horizontal="center" vertical="center"/>
    </xf>
    <xf numFmtId="165" fontId="0" fillId="0" borderId="59" xfId="0" applyNumberFormat="1" applyFont="1" applyBorder="1" applyAlignment="1">
      <alignment horizontal="center" vertical="center"/>
    </xf>
    <xf numFmtId="165" fontId="15" fillId="8" borderId="59" xfId="1" applyNumberFormat="1" applyFont="1" applyFill="1" applyBorder="1" applyAlignment="1">
      <alignment horizontal="center" vertical="center"/>
    </xf>
    <xf numFmtId="165" fontId="15" fillId="0" borderId="59" xfId="1" applyNumberFormat="1" applyFont="1" applyBorder="1" applyAlignment="1">
      <alignment horizontal="center" vertical="center"/>
    </xf>
    <xf numFmtId="165" fontId="0" fillId="0" borderId="59" xfId="0" applyNumberFormat="1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165" fontId="0" fillId="0" borderId="59" xfId="0" applyNumberFormat="1" applyBorder="1" applyAlignment="1">
      <alignment horizontal="center" vertical="center"/>
    </xf>
    <xf numFmtId="165" fontId="21" fillId="31" borderId="63" xfId="0" applyNumberFormat="1" applyFont="1" applyFill="1" applyBorder="1" applyAlignment="1">
      <alignment horizontal="center" vertical="center"/>
    </xf>
    <xf numFmtId="165" fontId="0" fillId="0" borderId="64" xfId="0" applyNumberFormat="1" applyFill="1" applyBorder="1" applyAlignment="1">
      <alignment horizontal="center" vertical="center"/>
    </xf>
    <xf numFmtId="165" fontId="0" fillId="8" borderId="59" xfId="0" applyNumberFormat="1" applyFill="1" applyBorder="1" applyAlignment="1">
      <alignment horizontal="center" vertical="center"/>
    </xf>
    <xf numFmtId="165" fontId="0" fillId="0" borderId="59" xfId="0" applyNumberFormat="1" applyFill="1" applyBorder="1" applyAlignment="1">
      <alignment horizontal="center" vertical="center"/>
    </xf>
    <xf numFmtId="0" fontId="13" fillId="31" borderId="62" xfId="0" applyFont="1" applyFill="1" applyBorder="1" applyAlignment="1">
      <alignment horizontal="center" vertical="center" wrapText="1"/>
    </xf>
    <xf numFmtId="165" fontId="21" fillId="31" borderId="67" xfId="0" applyNumberFormat="1" applyFont="1" applyFill="1" applyBorder="1" applyAlignment="1">
      <alignment horizontal="center" vertical="center"/>
    </xf>
    <xf numFmtId="165" fontId="2" fillId="31" borderId="70" xfId="0" applyNumberFormat="1" applyFont="1" applyFill="1" applyBorder="1" applyAlignment="1">
      <alignment horizontal="center" vertical="center"/>
    </xf>
    <xf numFmtId="165" fontId="2" fillId="31" borderId="71" xfId="0" applyNumberFormat="1" applyFont="1" applyFill="1" applyBorder="1" applyAlignment="1">
      <alignment horizontal="center" vertical="center"/>
    </xf>
    <xf numFmtId="166" fontId="2" fillId="4" borderId="15" xfId="1" applyNumberFormat="1" applyFont="1" applyFill="1" applyBorder="1" applyAlignment="1">
      <alignment horizontal="center"/>
    </xf>
    <xf numFmtId="166" fontId="2" fillId="4" borderId="15" xfId="0" applyNumberFormat="1" applyFont="1" applyFill="1" applyBorder="1" applyAlignment="1">
      <alignment horizontal="center"/>
    </xf>
    <xf numFmtId="166" fontId="2" fillId="4" borderId="15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0" fillId="36" borderId="0" xfId="1" applyNumberFormat="1" applyFont="1" applyFill="1"/>
    <xf numFmtId="165" fontId="3" fillId="36" borderId="19" xfId="0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/>
    </xf>
    <xf numFmtId="9" fontId="3" fillId="0" borderId="5" xfId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35" borderId="0" xfId="0" applyNumberFormat="1" applyFill="1"/>
    <xf numFmtId="165" fontId="0" fillId="4" borderId="0" xfId="0" applyNumberFormat="1" applyFill="1"/>
    <xf numFmtId="10" fontId="3" fillId="5" borderId="14" xfId="0" applyNumberFormat="1" applyFont="1" applyFill="1" applyBorder="1" applyAlignment="1">
      <alignment horizontal="center" vertical="center"/>
    </xf>
    <xf numFmtId="165" fontId="55" fillId="0" borderId="4" xfId="1" applyNumberFormat="1" applyFont="1" applyBorder="1"/>
    <xf numFmtId="9" fontId="55" fillId="0" borderId="4" xfId="1" applyFont="1" applyBorder="1"/>
    <xf numFmtId="165" fontId="54" fillId="5" borderId="14" xfId="0" applyNumberFormat="1" applyFon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 vertical="center"/>
    </xf>
    <xf numFmtId="165" fontId="56" fillId="0" borderId="16" xfId="0" applyNumberFormat="1" applyFont="1" applyBorder="1" applyAlignment="1">
      <alignment horizontal="center"/>
    </xf>
    <xf numFmtId="165" fontId="56" fillId="5" borderId="16" xfId="0" applyNumberFormat="1" applyFont="1" applyFill="1" applyBorder="1" applyAlignment="1">
      <alignment horizontal="center"/>
    </xf>
    <xf numFmtId="165" fontId="56" fillId="5" borderId="32" xfId="0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 vertical="center"/>
    </xf>
    <xf numFmtId="165" fontId="0" fillId="0" borderId="4" xfId="0" applyNumberFormat="1" applyBorder="1"/>
    <xf numFmtId="0" fontId="6" fillId="0" borderId="0" xfId="0" applyFont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8" fillId="6" borderId="72" xfId="0" applyFont="1" applyFill="1" applyBorder="1" applyAlignment="1">
      <alignment horizontal="center" vertical="center" wrapText="1"/>
    </xf>
    <xf numFmtId="0" fontId="58" fillId="6" borderId="73" xfId="0" applyFont="1" applyFill="1" applyBorder="1" applyAlignment="1">
      <alignment horizontal="center" vertical="center" wrapText="1"/>
    </xf>
    <xf numFmtId="0" fontId="58" fillId="6" borderId="74" xfId="0" applyFont="1" applyFill="1" applyBorder="1" applyAlignment="1">
      <alignment horizontal="center" vertical="center" wrapText="1"/>
    </xf>
    <xf numFmtId="0" fontId="8" fillId="6" borderId="74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58" fillId="6" borderId="75" xfId="0" applyFont="1" applyFill="1" applyBorder="1" applyAlignment="1">
      <alignment horizontal="center" vertical="center" wrapText="1"/>
    </xf>
    <xf numFmtId="0" fontId="8" fillId="6" borderId="75" xfId="0" applyFont="1" applyFill="1" applyBorder="1" applyAlignment="1">
      <alignment horizontal="center" vertical="center" wrapText="1"/>
    </xf>
    <xf numFmtId="0" fontId="15" fillId="37" borderId="4" xfId="0" applyFont="1" applyFill="1" applyBorder="1" applyAlignment="1">
      <alignment horizontal="justify" vertical="top" wrapText="1"/>
    </xf>
    <xf numFmtId="0" fontId="15" fillId="37" borderId="77" xfId="0" applyFont="1" applyFill="1" applyBorder="1" applyAlignment="1">
      <alignment horizontal="center" vertical="top" wrapText="1"/>
    </xf>
    <xf numFmtId="0" fontId="15" fillId="37" borderId="77" xfId="0" applyFont="1" applyFill="1" applyBorder="1" applyAlignment="1">
      <alignment horizontal="center" wrapText="1"/>
    </xf>
    <xf numFmtId="0" fontId="3" fillId="37" borderId="4" xfId="0" applyFont="1" applyFill="1" applyBorder="1" applyAlignment="1">
      <alignment horizontal="center" vertical="top" wrapText="1"/>
    </xf>
    <xf numFmtId="0" fontId="3" fillId="37" borderId="5" xfId="0" applyFont="1" applyFill="1" applyBorder="1" applyAlignment="1">
      <alignment horizontal="center" vertical="top" wrapText="1"/>
    </xf>
    <xf numFmtId="0" fontId="0" fillId="37" borderId="77" xfId="0" applyFill="1" applyBorder="1" applyAlignment="1">
      <alignment horizontal="center"/>
    </xf>
    <xf numFmtId="165" fontId="15" fillId="37" borderId="78" xfId="1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15" fillId="37" borderId="4" xfId="0" applyFont="1" applyFill="1" applyBorder="1" applyAlignment="1">
      <alignment horizontal="center" vertical="top" wrapText="1"/>
    </xf>
    <xf numFmtId="0" fontId="15" fillId="37" borderId="4" xfId="0" applyFont="1" applyFill="1" applyBorder="1" applyAlignment="1">
      <alignment horizontal="center" wrapText="1"/>
    </xf>
    <xf numFmtId="0" fontId="0" fillId="37" borderId="4" xfId="0" applyFill="1" applyBorder="1" applyAlignment="1">
      <alignment horizontal="center"/>
    </xf>
    <xf numFmtId="167" fontId="3" fillId="37" borderId="4" xfId="0" applyNumberFormat="1" applyFont="1" applyFill="1" applyBorder="1" applyAlignment="1">
      <alignment horizontal="center" vertical="top" wrapText="1"/>
    </xf>
    <xf numFmtId="165" fontId="15" fillId="37" borderId="80" xfId="1" applyNumberFormat="1" applyFont="1" applyFill="1" applyBorder="1" applyAlignment="1">
      <alignment horizontal="center" wrapText="1"/>
    </xf>
    <xf numFmtId="0" fontId="57" fillId="0" borderId="0" xfId="0" applyFont="1"/>
    <xf numFmtId="0" fontId="3" fillId="37" borderId="3" xfId="0" applyFont="1" applyFill="1" applyBorder="1" applyAlignment="1">
      <alignment horizontal="center" vertical="top" wrapText="1"/>
    </xf>
    <xf numFmtId="0" fontId="15" fillId="5" borderId="77" xfId="0" applyFont="1" applyFill="1" applyBorder="1" applyAlignment="1">
      <alignment horizontal="justify" vertical="top" wrapText="1"/>
    </xf>
    <xf numFmtId="0" fontId="15" fillId="5" borderId="77" xfId="0" applyFont="1" applyFill="1" applyBorder="1" applyAlignment="1">
      <alignment horizontal="center" vertical="top" wrapText="1"/>
    </xf>
    <xf numFmtId="0" fontId="15" fillId="5" borderId="77" xfId="0" applyFont="1" applyFill="1" applyBorder="1" applyAlignment="1">
      <alignment horizontal="center" wrapText="1"/>
    </xf>
    <xf numFmtId="0" fontId="0" fillId="5" borderId="77" xfId="0" applyFill="1" applyBorder="1" applyAlignment="1">
      <alignment horizontal="center"/>
    </xf>
    <xf numFmtId="0" fontId="15" fillId="5" borderId="4" xfId="0" applyFont="1" applyFill="1" applyBorder="1" applyAlignment="1">
      <alignment horizontal="center" vertical="top" wrapText="1"/>
    </xf>
    <xf numFmtId="165" fontId="15" fillId="5" borderId="78" xfId="1" applyNumberFormat="1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justify" vertical="top" wrapText="1"/>
    </xf>
    <xf numFmtId="0" fontId="15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165" fontId="15" fillId="5" borderId="80" xfId="1" applyNumberFormat="1" applyFont="1" applyFill="1" applyBorder="1" applyAlignment="1">
      <alignment horizontal="center" wrapText="1"/>
    </xf>
    <xf numFmtId="0" fontId="15" fillId="38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justify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/>
    </xf>
    <xf numFmtId="165" fontId="15" fillId="5" borderId="82" xfId="1" applyNumberFormat="1" applyFont="1" applyFill="1" applyBorder="1" applyAlignment="1">
      <alignment horizontal="center" wrapText="1"/>
    </xf>
    <xf numFmtId="0" fontId="15" fillId="38" borderId="77" xfId="0" applyFont="1" applyFill="1" applyBorder="1" applyAlignment="1">
      <alignment horizontal="justify" vertical="top" wrapText="1"/>
    </xf>
    <xf numFmtId="0" fontId="15" fillId="38" borderId="77" xfId="0" applyFont="1" applyFill="1" applyBorder="1" applyAlignment="1">
      <alignment horizontal="center" vertical="top" wrapText="1"/>
    </xf>
    <xf numFmtId="0" fontId="15" fillId="38" borderId="77" xfId="0" applyFont="1" applyFill="1" applyBorder="1" applyAlignment="1">
      <alignment horizontal="center" wrapText="1"/>
    </xf>
    <xf numFmtId="0" fontId="0" fillId="38" borderId="77" xfId="0" applyFill="1" applyBorder="1" applyAlignment="1">
      <alignment horizontal="center"/>
    </xf>
    <xf numFmtId="165" fontId="15" fillId="38" borderId="78" xfId="1" applyNumberFormat="1" applyFont="1" applyFill="1" applyBorder="1" applyAlignment="1">
      <alignment horizontal="center" wrapText="1"/>
    </xf>
    <xf numFmtId="166" fontId="0" fillId="0" borderId="0" xfId="1" applyNumberFormat="1" applyFont="1"/>
    <xf numFmtId="0" fontId="57" fillId="0" borderId="0" xfId="0" applyFont="1" applyAlignment="1">
      <alignment horizontal="center" wrapText="1"/>
    </xf>
    <xf numFmtId="0" fontId="15" fillId="38" borderId="4" xfId="0" applyFont="1" applyFill="1" applyBorder="1" applyAlignment="1">
      <alignment horizontal="justify" vertical="top" wrapText="1"/>
    </xf>
    <xf numFmtId="0" fontId="15" fillId="38" borderId="4" xfId="0" applyFont="1" applyFill="1" applyBorder="1" applyAlignment="1">
      <alignment horizontal="center" wrapText="1"/>
    </xf>
    <xf numFmtId="0" fontId="0" fillId="38" borderId="4" xfId="0" applyFill="1" applyBorder="1" applyAlignment="1">
      <alignment horizontal="center"/>
    </xf>
    <xf numFmtId="165" fontId="15" fillId="38" borderId="80" xfId="1" applyNumberFormat="1" applyFont="1" applyFill="1" applyBorder="1" applyAlignment="1">
      <alignment horizontal="center" wrapText="1"/>
    </xf>
    <xf numFmtId="0" fontId="15" fillId="39" borderId="4" xfId="0" applyFont="1" applyFill="1" applyBorder="1" applyAlignment="1">
      <alignment horizontal="center" vertical="top" wrapText="1"/>
    </xf>
    <xf numFmtId="0" fontId="15" fillId="39" borderId="4" xfId="0" applyFont="1" applyFill="1" applyBorder="1" applyAlignment="1">
      <alignment horizontal="justify" vertical="top" wrapText="1"/>
    </xf>
    <xf numFmtId="0" fontId="15" fillId="39" borderId="4" xfId="0" applyFont="1" applyFill="1" applyBorder="1" applyAlignment="1">
      <alignment horizontal="center" wrapText="1"/>
    </xf>
    <xf numFmtId="0" fontId="0" fillId="39" borderId="4" xfId="0" applyFill="1" applyBorder="1" applyAlignment="1">
      <alignment horizontal="center"/>
    </xf>
    <xf numFmtId="165" fontId="15" fillId="39" borderId="4" xfId="1" applyNumberFormat="1" applyFont="1" applyFill="1" applyBorder="1" applyAlignment="1">
      <alignment horizontal="center" wrapText="1"/>
    </xf>
    <xf numFmtId="0" fontId="19" fillId="0" borderId="0" xfId="0" applyFont="1" applyAlignment="1">
      <alignment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36" borderId="0" xfId="0" applyFont="1" applyFill="1" applyAlignment="1">
      <alignment vertical="center" wrapText="1"/>
    </xf>
    <xf numFmtId="168" fontId="15" fillId="0" borderId="14" xfId="340" applyNumberFormat="1" applyFont="1" applyBorder="1" applyAlignment="1">
      <alignment horizontal="center"/>
    </xf>
    <xf numFmtId="165" fontId="15" fillId="0" borderId="14" xfId="1" applyNumberFormat="1" applyFont="1" applyBorder="1" applyAlignment="1">
      <alignment horizontal="center"/>
    </xf>
    <xf numFmtId="0" fontId="15" fillId="36" borderId="0" xfId="0" applyFont="1" applyFill="1"/>
    <xf numFmtId="0" fontId="15" fillId="0" borderId="0" xfId="0" applyFont="1"/>
    <xf numFmtId="168" fontId="15" fillId="8" borderId="14" xfId="340" applyNumberFormat="1" applyFont="1" applyFill="1" applyBorder="1" applyAlignment="1">
      <alignment horizontal="center"/>
    </xf>
    <xf numFmtId="165" fontId="15" fillId="8" borderId="14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vertical="center"/>
    </xf>
    <xf numFmtId="0" fontId="2" fillId="5" borderId="14" xfId="0" applyFont="1" applyFill="1" applyBorder="1"/>
    <xf numFmtId="168" fontId="2" fillId="5" borderId="14" xfId="0" applyNumberFormat="1" applyFont="1" applyFill="1" applyBorder="1" applyAlignment="1">
      <alignment horizontal="center"/>
    </xf>
    <xf numFmtId="165" fontId="19" fillId="5" borderId="14" xfId="1" applyNumberFormat="1" applyFont="1" applyFill="1" applyBorder="1" applyAlignment="1">
      <alignment horizontal="center"/>
    </xf>
    <xf numFmtId="0" fontId="59" fillId="40" borderId="14" xfId="0" applyFont="1" applyFill="1" applyBorder="1" applyAlignment="1">
      <alignment horizontal="left" vertical="top"/>
    </xf>
    <xf numFmtId="0" fontId="19" fillId="40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169" fontId="0" fillId="0" borderId="14" xfId="0" applyNumberFormat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165" fontId="15" fillId="0" borderId="14" xfId="1" applyNumberFormat="1" applyFont="1" applyFill="1" applyBorder="1" applyAlignment="1">
      <alignment horizontal="center" vertical="center"/>
    </xf>
    <xf numFmtId="165" fontId="19" fillId="5" borderId="14" xfId="1" applyNumberFormat="1" applyFont="1" applyFill="1" applyBorder="1"/>
    <xf numFmtId="169" fontId="0" fillId="0" borderId="0" xfId="0" applyNumberFormat="1"/>
    <xf numFmtId="165" fontId="3" fillId="0" borderId="4" xfId="1" applyNumberFormat="1" applyFont="1" applyBorder="1"/>
    <xf numFmtId="0" fontId="14" fillId="0" borderId="7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14" fillId="3" borderId="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1" borderId="14" xfId="0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/>
    </xf>
    <xf numFmtId="0" fontId="3" fillId="31" borderId="23" xfId="0" applyFont="1" applyFill="1" applyBorder="1" applyAlignment="1">
      <alignment horizontal="center"/>
    </xf>
    <xf numFmtId="0" fontId="3" fillId="31" borderId="14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 vertical="center" wrapText="1"/>
    </xf>
    <xf numFmtId="0" fontId="12" fillId="31" borderId="14" xfId="0" applyFont="1" applyFill="1" applyBorder="1" applyAlignment="1">
      <alignment horizontal="center" vertical="center" wrapText="1"/>
    </xf>
    <xf numFmtId="10" fontId="2" fillId="31" borderId="14" xfId="1" applyNumberFormat="1" applyFont="1" applyFill="1" applyBorder="1" applyAlignment="1">
      <alignment horizontal="center"/>
    </xf>
    <xf numFmtId="0" fontId="26" fillId="31" borderId="62" xfId="0" applyFont="1" applyFill="1" applyBorder="1" applyAlignment="1">
      <alignment horizontal="left" vertical="center" wrapText="1"/>
    </xf>
    <xf numFmtId="0" fontId="26" fillId="31" borderId="26" xfId="0" applyFont="1" applyFill="1" applyBorder="1" applyAlignment="1">
      <alignment horizontal="left" vertical="center" wrapText="1"/>
    </xf>
    <xf numFmtId="0" fontId="26" fillId="31" borderId="66" xfId="0" applyFont="1" applyFill="1" applyBorder="1" applyAlignment="1">
      <alignment horizontal="left" vertical="center" wrapText="1"/>
    </xf>
    <xf numFmtId="0" fontId="26" fillId="31" borderId="27" xfId="0" applyFont="1" applyFill="1" applyBorder="1" applyAlignment="1">
      <alignment horizontal="left" vertical="center" wrapText="1"/>
    </xf>
    <xf numFmtId="0" fontId="27" fillId="31" borderId="68" xfId="0" applyFont="1" applyFill="1" applyBorder="1" applyAlignment="1">
      <alignment horizontal="left" vertical="center"/>
    </xf>
    <xf numFmtId="0" fontId="27" fillId="31" borderId="69" xfId="0" applyFont="1" applyFill="1" applyBorder="1" applyAlignment="1">
      <alignment horizontal="left" vertical="center"/>
    </xf>
    <xf numFmtId="165" fontId="20" fillId="0" borderId="14" xfId="0" applyNumberFormat="1" applyFont="1" applyBorder="1" applyAlignment="1">
      <alignment horizontal="center" vertical="center"/>
    </xf>
    <xf numFmtId="0" fontId="24" fillId="31" borderId="14" xfId="0" applyFont="1" applyFill="1" applyBorder="1" applyAlignment="1">
      <alignment horizontal="left" vertical="center"/>
    </xf>
    <xf numFmtId="0" fontId="13" fillId="31" borderId="56" xfId="0" applyFont="1" applyFill="1" applyBorder="1" applyAlignment="1">
      <alignment horizontal="center" vertical="center" wrapText="1"/>
    </xf>
    <xf numFmtId="0" fontId="13" fillId="31" borderId="58" xfId="0" applyFont="1" applyFill="1" applyBorder="1" applyAlignment="1">
      <alignment horizontal="center" vertical="center" wrapText="1"/>
    </xf>
    <xf numFmtId="0" fontId="13" fillId="31" borderId="6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/>
    </xf>
    <xf numFmtId="0" fontId="2" fillId="31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9" fillId="5" borderId="15" xfId="0" applyFont="1" applyFill="1" applyBorder="1" applyAlignment="1">
      <alignment vertical="center"/>
    </xf>
    <xf numFmtId="0" fontId="13" fillId="31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/>
    </xf>
    <xf numFmtId="0" fontId="13" fillId="31" borderId="61" xfId="0" applyFont="1" applyFill="1" applyBorder="1" applyAlignment="1">
      <alignment horizontal="center" vertical="center" wrapText="1"/>
    </xf>
    <xf numFmtId="0" fontId="13" fillId="31" borderId="65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vertical="center" wrapText="1"/>
    </xf>
    <xf numFmtId="0" fontId="19" fillId="5" borderId="16" xfId="0" applyFont="1" applyFill="1" applyBorder="1" applyAlignment="1">
      <alignment vertical="center" wrapText="1"/>
    </xf>
    <xf numFmtId="0" fontId="19" fillId="5" borderId="23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31" borderId="14" xfId="0" applyFont="1" applyFill="1" applyBorder="1" applyAlignment="1">
      <alignment horizontal="center" vertical="center"/>
    </xf>
    <xf numFmtId="0" fontId="0" fillId="31" borderId="14" xfId="0" applyFill="1" applyBorder="1" applyAlignment="1">
      <alignment horizontal="center"/>
    </xf>
    <xf numFmtId="2" fontId="2" fillId="31" borderId="14" xfId="0" applyNumberFormat="1" applyFont="1" applyFill="1" applyBorder="1" applyAlignment="1">
      <alignment horizontal="center"/>
    </xf>
    <xf numFmtId="165" fontId="2" fillId="31" borderId="14" xfId="1" applyNumberFormat="1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8" fillId="31" borderId="14" xfId="0" applyFont="1" applyFill="1" applyBorder="1" applyAlignment="1">
      <alignment horizontal="center" vertical="center" wrapText="1"/>
    </xf>
    <xf numFmtId="165" fontId="2" fillId="31" borderId="14" xfId="1" applyNumberFormat="1" applyFont="1" applyFill="1" applyBorder="1" applyAlignment="1">
      <alignment horizontal="center" vertical="center"/>
    </xf>
    <xf numFmtId="2" fontId="2" fillId="31" borderId="14" xfId="0" applyNumberFormat="1" applyFont="1" applyFill="1" applyBorder="1" applyAlignment="1">
      <alignment horizontal="center" vertical="center"/>
    </xf>
    <xf numFmtId="9" fontId="2" fillId="31" borderId="14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/>
    </xf>
    <xf numFmtId="0" fontId="2" fillId="34" borderId="14" xfId="0" applyFont="1" applyFill="1" applyBorder="1" applyAlignment="1">
      <alignment horizontal="center" vertical="center" wrapText="1"/>
    </xf>
    <xf numFmtId="0" fontId="2" fillId="31" borderId="15" xfId="0" applyFont="1" applyFill="1" applyBorder="1" applyAlignment="1">
      <alignment horizontal="center" vertical="center"/>
    </xf>
    <xf numFmtId="0" fontId="2" fillId="31" borderId="31" xfId="0" applyFont="1" applyFill="1" applyBorder="1" applyAlignment="1">
      <alignment horizontal="center" vertical="center"/>
    </xf>
    <xf numFmtId="0" fontId="2" fillId="31" borderId="19" xfId="0" applyFont="1" applyFill="1" applyBorder="1" applyAlignment="1">
      <alignment horizontal="center" vertical="center"/>
    </xf>
    <xf numFmtId="0" fontId="19" fillId="31" borderId="14" xfId="0" applyFont="1" applyFill="1" applyBorder="1" applyAlignment="1">
      <alignment horizontal="center" vertical="center" wrapText="1"/>
    </xf>
    <xf numFmtId="0" fontId="17" fillId="31" borderId="15" xfId="0" applyFont="1" applyFill="1" applyBorder="1" applyAlignment="1">
      <alignment horizontal="center" vertical="center" wrapText="1"/>
    </xf>
    <xf numFmtId="0" fontId="17" fillId="31" borderId="31" xfId="0" applyFont="1" applyFill="1" applyBorder="1" applyAlignment="1">
      <alignment horizontal="center" vertical="center" wrapText="1"/>
    </xf>
    <xf numFmtId="0" fontId="17" fillId="31" borderId="1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2" fillId="0" borderId="76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5" borderId="76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horizontal="center" vertical="center"/>
    </xf>
    <xf numFmtId="0" fontId="2" fillId="38" borderId="76" xfId="0" applyFont="1" applyFill="1" applyBorder="1" applyAlignment="1">
      <alignment horizontal="center" vertical="center"/>
    </xf>
    <xf numFmtId="0" fontId="2" fillId="38" borderId="79" xfId="0" applyFont="1" applyFill="1" applyBorder="1" applyAlignment="1">
      <alignment horizontal="center" vertical="center"/>
    </xf>
    <xf numFmtId="0" fontId="2" fillId="39" borderId="4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/>
    </xf>
  </cellXfs>
  <cellStyles count="1287"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10" xfId="342"/>
    <cellStyle name="Calcul 10 2" xfId="343"/>
    <cellStyle name="Calcul 10 2 2" xfId="344"/>
    <cellStyle name="Calcul 10 2 3" xfId="345"/>
    <cellStyle name="Calcul 10 3" xfId="346"/>
    <cellStyle name="Calcul 10 3 2" xfId="347"/>
    <cellStyle name="Calcul 10 4" xfId="348"/>
    <cellStyle name="Calcul 10 5" xfId="349"/>
    <cellStyle name="Calcul 11" xfId="350"/>
    <cellStyle name="Calcul 11 2" xfId="351"/>
    <cellStyle name="Calcul 11 2 2" xfId="352"/>
    <cellStyle name="Calcul 11 3" xfId="353"/>
    <cellStyle name="Calcul 11 3 2" xfId="354"/>
    <cellStyle name="Calcul 11 4" xfId="355"/>
    <cellStyle name="Calcul 12" xfId="356"/>
    <cellStyle name="Calcul 12 2" xfId="357"/>
    <cellStyle name="Calcul 2" xfId="29"/>
    <cellStyle name="Calcul 2 10" xfId="358"/>
    <cellStyle name="Calcul 2 11" xfId="359"/>
    <cellStyle name="Calcul 2 12" xfId="360"/>
    <cellStyle name="Calcul 2 2" xfId="30"/>
    <cellStyle name="Calcul 2 2 2" xfId="361"/>
    <cellStyle name="Calcul 2 2 2 2" xfId="362"/>
    <cellStyle name="Calcul 2 2 2 3" xfId="363"/>
    <cellStyle name="Calcul 2 2 2 4" xfId="364"/>
    <cellStyle name="Calcul 2 2 3" xfId="365"/>
    <cellStyle name="Calcul 2 2 3 2" xfId="366"/>
    <cellStyle name="Calcul 2 2 3 3" xfId="367"/>
    <cellStyle name="Calcul 2 2 4" xfId="368"/>
    <cellStyle name="Calcul 2 2 4 2" xfId="369"/>
    <cellStyle name="Calcul 2 2 5" xfId="370"/>
    <cellStyle name="Calcul 2 2 6" xfId="371"/>
    <cellStyle name="Calcul 2 3" xfId="31"/>
    <cellStyle name="Calcul 2 3 2" xfId="372"/>
    <cellStyle name="Calcul 2 3 3" xfId="373"/>
    <cellStyle name="Calcul 2 3 4" xfId="374"/>
    <cellStyle name="Calcul 2 4" xfId="32"/>
    <cellStyle name="Calcul 2 4 2" xfId="375"/>
    <cellStyle name="Calcul 2 4 3" xfId="376"/>
    <cellStyle name="Calcul 2 4 4" xfId="377"/>
    <cellStyle name="Calcul 2 5" xfId="176"/>
    <cellStyle name="Calcul 2 5 2" xfId="378"/>
    <cellStyle name="Calcul 2 5 3" xfId="379"/>
    <cellStyle name="Calcul 2 5 4" xfId="380"/>
    <cellStyle name="Calcul 2 6" xfId="177"/>
    <cellStyle name="Calcul 2 6 2" xfId="381"/>
    <cellStyle name="Calcul 2 7" xfId="178"/>
    <cellStyle name="Calcul 2 7 2" xfId="382"/>
    <cellStyle name="Calcul 2 8" xfId="179"/>
    <cellStyle name="Calcul 2 8 2" xfId="383"/>
    <cellStyle name="Calcul 2 9" xfId="384"/>
    <cellStyle name="Calcul 2 9 2" xfId="385"/>
    <cellStyle name="Calcul 3" xfId="33"/>
    <cellStyle name="Calcul 3 10" xfId="386"/>
    <cellStyle name="Calcul 3 11" xfId="387"/>
    <cellStyle name="Calcul 3 12" xfId="388"/>
    <cellStyle name="Calcul 3 2" xfId="34"/>
    <cellStyle name="Calcul 3 2 2" xfId="389"/>
    <cellStyle name="Calcul 3 2 2 2" xfId="390"/>
    <cellStyle name="Calcul 3 2 2 3" xfId="391"/>
    <cellStyle name="Calcul 3 2 2 4" xfId="392"/>
    <cellStyle name="Calcul 3 2 3" xfId="393"/>
    <cellStyle name="Calcul 3 2 3 2" xfId="394"/>
    <cellStyle name="Calcul 3 2 3 3" xfId="395"/>
    <cellStyle name="Calcul 3 2 4" xfId="396"/>
    <cellStyle name="Calcul 3 2 4 2" xfId="397"/>
    <cellStyle name="Calcul 3 2 5" xfId="398"/>
    <cellStyle name="Calcul 3 2 6" xfId="399"/>
    <cellStyle name="Calcul 3 3" xfId="35"/>
    <cellStyle name="Calcul 3 3 2" xfId="400"/>
    <cellStyle name="Calcul 3 3 3" xfId="401"/>
    <cellStyle name="Calcul 3 3 4" xfId="402"/>
    <cellStyle name="Calcul 3 4" xfId="36"/>
    <cellStyle name="Calcul 3 4 2" xfId="403"/>
    <cellStyle name="Calcul 3 4 3" xfId="404"/>
    <cellStyle name="Calcul 3 4 4" xfId="405"/>
    <cellStyle name="Calcul 3 5" xfId="180"/>
    <cellStyle name="Calcul 3 5 2" xfId="406"/>
    <cellStyle name="Calcul 3 5 3" xfId="407"/>
    <cellStyle name="Calcul 3 5 4" xfId="408"/>
    <cellStyle name="Calcul 3 6" xfId="181"/>
    <cellStyle name="Calcul 3 6 2" xfId="409"/>
    <cellStyle name="Calcul 3 7" xfId="182"/>
    <cellStyle name="Calcul 3 7 2" xfId="410"/>
    <cellStyle name="Calcul 3 8" xfId="183"/>
    <cellStyle name="Calcul 3 8 2" xfId="411"/>
    <cellStyle name="Calcul 3 9" xfId="412"/>
    <cellStyle name="Calcul 3 9 2" xfId="413"/>
    <cellStyle name="Calcul 4" xfId="37"/>
    <cellStyle name="Calcul 4 10" xfId="414"/>
    <cellStyle name="Calcul 4 11" xfId="415"/>
    <cellStyle name="Calcul 4 12" xfId="416"/>
    <cellStyle name="Calcul 4 2" xfId="38"/>
    <cellStyle name="Calcul 4 2 2" xfId="417"/>
    <cellStyle name="Calcul 4 2 2 2" xfId="418"/>
    <cellStyle name="Calcul 4 2 2 3" xfId="419"/>
    <cellStyle name="Calcul 4 2 2 4" xfId="420"/>
    <cellStyle name="Calcul 4 2 3" xfId="421"/>
    <cellStyle name="Calcul 4 2 3 2" xfId="422"/>
    <cellStyle name="Calcul 4 2 3 3" xfId="423"/>
    <cellStyle name="Calcul 4 2 4" xfId="424"/>
    <cellStyle name="Calcul 4 2 4 2" xfId="425"/>
    <cellStyle name="Calcul 4 2 5" xfId="426"/>
    <cellStyle name="Calcul 4 2 6" xfId="427"/>
    <cellStyle name="Calcul 4 3" xfId="39"/>
    <cellStyle name="Calcul 4 3 2" xfId="428"/>
    <cellStyle name="Calcul 4 3 3" xfId="429"/>
    <cellStyle name="Calcul 4 3 4" xfId="430"/>
    <cellStyle name="Calcul 4 4" xfId="40"/>
    <cellStyle name="Calcul 4 4 2" xfId="431"/>
    <cellStyle name="Calcul 4 4 3" xfId="432"/>
    <cellStyle name="Calcul 4 4 4" xfId="433"/>
    <cellStyle name="Calcul 4 5" xfId="184"/>
    <cellStyle name="Calcul 4 5 2" xfId="434"/>
    <cellStyle name="Calcul 4 5 3" xfId="435"/>
    <cellStyle name="Calcul 4 5 4" xfId="436"/>
    <cellStyle name="Calcul 4 6" xfId="185"/>
    <cellStyle name="Calcul 4 6 2" xfId="437"/>
    <cellStyle name="Calcul 4 7" xfId="186"/>
    <cellStyle name="Calcul 4 7 2" xfId="438"/>
    <cellStyle name="Calcul 4 8" xfId="187"/>
    <cellStyle name="Calcul 4 8 2" xfId="439"/>
    <cellStyle name="Calcul 4 9" xfId="440"/>
    <cellStyle name="Calcul 4 9 2" xfId="441"/>
    <cellStyle name="Calcul 5" xfId="41"/>
    <cellStyle name="Calcul 5 10" xfId="442"/>
    <cellStyle name="Calcul 5 11" xfId="443"/>
    <cellStyle name="Calcul 5 12" xfId="444"/>
    <cellStyle name="Calcul 5 2" xfId="42"/>
    <cellStyle name="Calcul 5 2 2" xfId="445"/>
    <cellStyle name="Calcul 5 2 3" xfId="446"/>
    <cellStyle name="Calcul 5 2 4" xfId="447"/>
    <cellStyle name="Calcul 5 3" xfId="43"/>
    <cellStyle name="Calcul 5 3 2" xfId="448"/>
    <cellStyle name="Calcul 5 3 3" xfId="449"/>
    <cellStyle name="Calcul 5 3 4" xfId="450"/>
    <cellStyle name="Calcul 5 4" xfId="44"/>
    <cellStyle name="Calcul 5 4 2" xfId="451"/>
    <cellStyle name="Calcul 5 4 3" xfId="452"/>
    <cellStyle name="Calcul 5 4 4" xfId="453"/>
    <cellStyle name="Calcul 5 5" xfId="188"/>
    <cellStyle name="Calcul 5 5 2" xfId="454"/>
    <cellStyle name="Calcul 5 6" xfId="189"/>
    <cellStyle name="Calcul 5 6 2" xfId="455"/>
    <cellStyle name="Calcul 5 7" xfId="190"/>
    <cellStyle name="Calcul 5 7 2" xfId="456"/>
    <cellStyle name="Calcul 5 8" xfId="191"/>
    <cellStyle name="Calcul 5 8 2" xfId="457"/>
    <cellStyle name="Calcul 5 9" xfId="458"/>
    <cellStyle name="Calcul 5 9 2" xfId="459"/>
    <cellStyle name="Calcul 6" xfId="45"/>
    <cellStyle name="Calcul 6 10" xfId="460"/>
    <cellStyle name="Calcul 6 11" xfId="461"/>
    <cellStyle name="Calcul 6 12" xfId="462"/>
    <cellStyle name="Calcul 6 2" xfId="46"/>
    <cellStyle name="Calcul 6 2 2" xfId="463"/>
    <cellStyle name="Calcul 6 2 3" xfId="464"/>
    <cellStyle name="Calcul 6 2 4" xfId="465"/>
    <cellStyle name="Calcul 6 3" xfId="47"/>
    <cellStyle name="Calcul 6 3 2" xfId="466"/>
    <cellStyle name="Calcul 6 3 3" xfId="467"/>
    <cellStyle name="Calcul 6 3 4" xfId="468"/>
    <cellStyle name="Calcul 6 4" xfId="48"/>
    <cellStyle name="Calcul 6 4 2" xfId="469"/>
    <cellStyle name="Calcul 6 4 3" xfId="470"/>
    <cellStyle name="Calcul 6 4 4" xfId="471"/>
    <cellStyle name="Calcul 6 5" xfId="192"/>
    <cellStyle name="Calcul 6 5 2" xfId="472"/>
    <cellStyle name="Calcul 6 6" xfId="193"/>
    <cellStyle name="Calcul 6 6 2" xfId="473"/>
    <cellStyle name="Calcul 6 7" xfId="194"/>
    <cellStyle name="Calcul 6 7 2" xfId="474"/>
    <cellStyle name="Calcul 6 8" xfId="195"/>
    <cellStyle name="Calcul 6 8 2" xfId="475"/>
    <cellStyle name="Calcul 6 9" xfId="476"/>
    <cellStyle name="Calcul 6 9 2" xfId="477"/>
    <cellStyle name="Calcul 7" xfId="49"/>
    <cellStyle name="Calcul 7 10" xfId="478"/>
    <cellStyle name="Calcul 7 11" xfId="479"/>
    <cellStyle name="Calcul 7 12" xfId="480"/>
    <cellStyle name="Calcul 7 2" xfId="50"/>
    <cellStyle name="Calcul 7 2 2" xfId="481"/>
    <cellStyle name="Calcul 7 2 3" xfId="482"/>
    <cellStyle name="Calcul 7 2 4" xfId="483"/>
    <cellStyle name="Calcul 7 3" xfId="51"/>
    <cellStyle name="Calcul 7 3 2" xfId="484"/>
    <cellStyle name="Calcul 7 3 3" xfId="485"/>
    <cellStyle name="Calcul 7 3 4" xfId="486"/>
    <cellStyle name="Calcul 7 4" xfId="52"/>
    <cellStyle name="Calcul 7 4 2" xfId="487"/>
    <cellStyle name="Calcul 7 4 3" xfId="488"/>
    <cellStyle name="Calcul 7 4 4" xfId="489"/>
    <cellStyle name="Calcul 7 5" xfId="196"/>
    <cellStyle name="Calcul 7 5 2" xfId="490"/>
    <cellStyle name="Calcul 7 6" xfId="197"/>
    <cellStyle name="Calcul 7 6 2" xfId="491"/>
    <cellStyle name="Calcul 7 7" xfId="198"/>
    <cellStyle name="Calcul 7 7 2" xfId="492"/>
    <cellStyle name="Calcul 7 8" xfId="199"/>
    <cellStyle name="Calcul 7 8 2" xfId="493"/>
    <cellStyle name="Calcul 7 9" xfId="494"/>
    <cellStyle name="Calcul 7 9 2" xfId="495"/>
    <cellStyle name="Calcul 8" xfId="200"/>
    <cellStyle name="Calcul 8 10" xfId="496"/>
    <cellStyle name="Calcul 8 11" xfId="497"/>
    <cellStyle name="Calcul 8 12" xfId="498"/>
    <cellStyle name="Calcul 8 2" xfId="201"/>
    <cellStyle name="Calcul 8 2 2" xfId="499"/>
    <cellStyle name="Calcul 8 2 3" xfId="500"/>
    <cellStyle name="Calcul 8 2 4" xfId="501"/>
    <cellStyle name="Calcul 8 3" xfId="202"/>
    <cellStyle name="Calcul 8 3 2" xfId="502"/>
    <cellStyle name="Calcul 8 3 3" xfId="503"/>
    <cellStyle name="Calcul 8 3 4" xfId="504"/>
    <cellStyle name="Calcul 8 4" xfId="203"/>
    <cellStyle name="Calcul 8 4 2" xfId="505"/>
    <cellStyle name="Calcul 8 4 3" xfId="506"/>
    <cellStyle name="Calcul 8 4 4" xfId="507"/>
    <cellStyle name="Calcul 8 5" xfId="204"/>
    <cellStyle name="Calcul 8 5 2" xfId="508"/>
    <cellStyle name="Calcul 8 6" xfId="205"/>
    <cellStyle name="Calcul 8 6 2" xfId="509"/>
    <cellStyle name="Calcul 8 7" xfId="206"/>
    <cellStyle name="Calcul 8 7 2" xfId="510"/>
    <cellStyle name="Calcul 8 8" xfId="207"/>
    <cellStyle name="Calcul 8 8 2" xfId="511"/>
    <cellStyle name="Calcul 8 9" xfId="512"/>
    <cellStyle name="Calcul 8 9 2" xfId="513"/>
    <cellStyle name="Calcul 9" xfId="514"/>
    <cellStyle name="Calcul 9 2" xfId="515"/>
    <cellStyle name="Calcul 9 2 2" xfId="516"/>
    <cellStyle name="Calcul 9 2 3" xfId="517"/>
    <cellStyle name="Calcul 9 3" xfId="518"/>
    <cellStyle name="Calcul 9 3 2" xfId="519"/>
    <cellStyle name="Calcul 9 4" xfId="520"/>
    <cellStyle name="Calcul 9 4 2" xfId="521"/>
    <cellStyle name="Calcul 9 5" xfId="522"/>
    <cellStyle name="Calcul 9 6" xfId="523"/>
    <cellStyle name="Cellule liée 2" xfId="53"/>
    <cellStyle name="Commentaire 10" xfId="524"/>
    <cellStyle name="Commentaire 10 2" xfId="525"/>
    <cellStyle name="Commentaire 10 2 2" xfId="526"/>
    <cellStyle name="Commentaire 10 2 3" xfId="527"/>
    <cellStyle name="Commentaire 10 3" xfId="528"/>
    <cellStyle name="Commentaire 10 3 2" xfId="529"/>
    <cellStyle name="Commentaire 10 4" xfId="530"/>
    <cellStyle name="Commentaire 10 5" xfId="531"/>
    <cellStyle name="Commentaire 11" xfId="532"/>
    <cellStyle name="Commentaire 11 2" xfId="533"/>
    <cellStyle name="Commentaire 11 2 2" xfId="534"/>
    <cellStyle name="Commentaire 11 3" xfId="535"/>
    <cellStyle name="Commentaire 11 3 2" xfId="536"/>
    <cellStyle name="Commentaire 11 4" xfId="537"/>
    <cellStyle name="Commentaire 12" xfId="538"/>
    <cellStyle name="Commentaire 12 2" xfId="539"/>
    <cellStyle name="Commentaire 2" xfId="54"/>
    <cellStyle name="Commentaire 2 10" xfId="540"/>
    <cellStyle name="Commentaire 2 11" xfId="541"/>
    <cellStyle name="Commentaire 2 12" xfId="542"/>
    <cellStyle name="Commentaire 2 2" xfId="55"/>
    <cellStyle name="Commentaire 2 2 2" xfId="543"/>
    <cellStyle name="Commentaire 2 2 2 2" xfId="544"/>
    <cellStyle name="Commentaire 2 2 2 3" xfId="545"/>
    <cellStyle name="Commentaire 2 2 2 4" xfId="546"/>
    <cellStyle name="Commentaire 2 2 3" xfId="547"/>
    <cellStyle name="Commentaire 2 2 3 2" xfId="548"/>
    <cellStyle name="Commentaire 2 2 3 3" xfId="549"/>
    <cellStyle name="Commentaire 2 2 4" xfId="550"/>
    <cellStyle name="Commentaire 2 2 4 2" xfId="551"/>
    <cellStyle name="Commentaire 2 2 5" xfId="552"/>
    <cellStyle name="Commentaire 2 2 6" xfId="553"/>
    <cellStyle name="Commentaire 2 3" xfId="56"/>
    <cellStyle name="Commentaire 2 3 2" xfId="554"/>
    <cellStyle name="Commentaire 2 3 3" xfId="555"/>
    <cellStyle name="Commentaire 2 3 4" xfId="556"/>
    <cellStyle name="Commentaire 2 4" xfId="57"/>
    <cellStyle name="Commentaire 2 4 2" xfId="557"/>
    <cellStyle name="Commentaire 2 4 3" xfId="558"/>
    <cellStyle name="Commentaire 2 4 4" xfId="559"/>
    <cellStyle name="Commentaire 2 5" xfId="208"/>
    <cellStyle name="Commentaire 2 5 2" xfId="560"/>
    <cellStyle name="Commentaire 2 5 3" xfId="561"/>
    <cellStyle name="Commentaire 2 5 4" xfId="562"/>
    <cellStyle name="Commentaire 2 6" xfId="209"/>
    <cellStyle name="Commentaire 2 6 2" xfId="563"/>
    <cellStyle name="Commentaire 2 7" xfId="210"/>
    <cellStyle name="Commentaire 2 7 2" xfId="564"/>
    <cellStyle name="Commentaire 2 8" xfId="211"/>
    <cellStyle name="Commentaire 2 8 2" xfId="565"/>
    <cellStyle name="Commentaire 2 9" xfId="566"/>
    <cellStyle name="Commentaire 2 9 2" xfId="567"/>
    <cellStyle name="Commentaire 3" xfId="58"/>
    <cellStyle name="Commentaire 3 10" xfId="568"/>
    <cellStyle name="Commentaire 3 11" xfId="569"/>
    <cellStyle name="Commentaire 3 12" xfId="570"/>
    <cellStyle name="Commentaire 3 2" xfId="59"/>
    <cellStyle name="Commentaire 3 2 2" xfId="571"/>
    <cellStyle name="Commentaire 3 2 2 2" xfId="572"/>
    <cellStyle name="Commentaire 3 2 2 3" xfId="573"/>
    <cellStyle name="Commentaire 3 2 2 4" xfId="574"/>
    <cellStyle name="Commentaire 3 2 3" xfId="575"/>
    <cellStyle name="Commentaire 3 2 3 2" xfId="576"/>
    <cellStyle name="Commentaire 3 2 3 3" xfId="577"/>
    <cellStyle name="Commentaire 3 2 4" xfId="578"/>
    <cellStyle name="Commentaire 3 2 4 2" xfId="579"/>
    <cellStyle name="Commentaire 3 2 5" xfId="580"/>
    <cellStyle name="Commentaire 3 2 6" xfId="581"/>
    <cellStyle name="Commentaire 3 3" xfId="60"/>
    <cellStyle name="Commentaire 3 3 2" xfId="582"/>
    <cellStyle name="Commentaire 3 3 3" xfId="583"/>
    <cellStyle name="Commentaire 3 3 4" xfId="584"/>
    <cellStyle name="Commentaire 3 4" xfId="61"/>
    <cellStyle name="Commentaire 3 4 2" xfId="585"/>
    <cellStyle name="Commentaire 3 4 3" xfId="586"/>
    <cellStyle name="Commentaire 3 4 4" xfId="587"/>
    <cellStyle name="Commentaire 3 5" xfId="212"/>
    <cellStyle name="Commentaire 3 5 2" xfId="588"/>
    <cellStyle name="Commentaire 3 5 3" xfId="589"/>
    <cellStyle name="Commentaire 3 5 4" xfId="590"/>
    <cellStyle name="Commentaire 3 6" xfId="213"/>
    <cellStyle name="Commentaire 3 6 2" xfId="591"/>
    <cellStyle name="Commentaire 3 7" xfId="214"/>
    <cellStyle name="Commentaire 3 7 2" xfId="592"/>
    <cellStyle name="Commentaire 3 8" xfId="215"/>
    <cellStyle name="Commentaire 3 8 2" xfId="593"/>
    <cellStyle name="Commentaire 3 9" xfId="594"/>
    <cellStyle name="Commentaire 3 9 2" xfId="595"/>
    <cellStyle name="Commentaire 4" xfId="62"/>
    <cellStyle name="Commentaire 4 10" xfId="596"/>
    <cellStyle name="Commentaire 4 11" xfId="597"/>
    <cellStyle name="Commentaire 4 12" xfId="598"/>
    <cellStyle name="Commentaire 4 2" xfId="63"/>
    <cellStyle name="Commentaire 4 2 2" xfId="599"/>
    <cellStyle name="Commentaire 4 2 2 2" xfId="600"/>
    <cellStyle name="Commentaire 4 2 2 3" xfId="601"/>
    <cellStyle name="Commentaire 4 2 2 4" xfId="602"/>
    <cellStyle name="Commentaire 4 2 3" xfId="603"/>
    <cellStyle name="Commentaire 4 2 3 2" xfId="604"/>
    <cellStyle name="Commentaire 4 2 3 3" xfId="605"/>
    <cellStyle name="Commentaire 4 2 4" xfId="606"/>
    <cellStyle name="Commentaire 4 2 4 2" xfId="607"/>
    <cellStyle name="Commentaire 4 2 5" xfId="608"/>
    <cellStyle name="Commentaire 4 2 6" xfId="609"/>
    <cellStyle name="Commentaire 4 3" xfId="64"/>
    <cellStyle name="Commentaire 4 3 2" xfId="610"/>
    <cellStyle name="Commentaire 4 3 3" xfId="611"/>
    <cellStyle name="Commentaire 4 3 4" xfId="612"/>
    <cellStyle name="Commentaire 4 4" xfId="65"/>
    <cellStyle name="Commentaire 4 4 2" xfId="613"/>
    <cellStyle name="Commentaire 4 4 3" xfId="614"/>
    <cellStyle name="Commentaire 4 4 4" xfId="615"/>
    <cellStyle name="Commentaire 4 5" xfId="216"/>
    <cellStyle name="Commentaire 4 5 2" xfId="616"/>
    <cellStyle name="Commentaire 4 5 3" xfId="617"/>
    <cellStyle name="Commentaire 4 5 4" xfId="618"/>
    <cellStyle name="Commentaire 4 6" xfId="217"/>
    <cellStyle name="Commentaire 4 6 2" xfId="619"/>
    <cellStyle name="Commentaire 4 7" xfId="218"/>
    <cellStyle name="Commentaire 4 7 2" xfId="620"/>
    <cellStyle name="Commentaire 4 8" xfId="219"/>
    <cellStyle name="Commentaire 4 8 2" xfId="621"/>
    <cellStyle name="Commentaire 4 9" xfId="622"/>
    <cellStyle name="Commentaire 4 9 2" xfId="623"/>
    <cellStyle name="Commentaire 5" xfId="66"/>
    <cellStyle name="Commentaire 5 10" xfId="624"/>
    <cellStyle name="Commentaire 5 11" xfId="625"/>
    <cellStyle name="Commentaire 5 12" xfId="626"/>
    <cellStyle name="Commentaire 5 2" xfId="67"/>
    <cellStyle name="Commentaire 5 2 2" xfId="627"/>
    <cellStyle name="Commentaire 5 2 3" xfId="628"/>
    <cellStyle name="Commentaire 5 2 4" xfId="629"/>
    <cellStyle name="Commentaire 5 3" xfId="68"/>
    <cellStyle name="Commentaire 5 3 2" xfId="630"/>
    <cellStyle name="Commentaire 5 3 3" xfId="631"/>
    <cellStyle name="Commentaire 5 3 4" xfId="632"/>
    <cellStyle name="Commentaire 5 4" xfId="69"/>
    <cellStyle name="Commentaire 5 4 2" xfId="633"/>
    <cellStyle name="Commentaire 5 4 3" xfId="634"/>
    <cellStyle name="Commentaire 5 4 4" xfId="635"/>
    <cellStyle name="Commentaire 5 5" xfId="220"/>
    <cellStyle name="Commentaire 5 5 2" xfId="636"/>
    <cellStyle name="Commentaire 5 6" xfId="221"/>
    <cellStyle name="Commentaire 5 6 2" xfId="637"/>
    <cellStyle name="Commentaire 5 7" xfId="222"/>
    <cellStyle name="Commentaire 5 7 2" xfId="638"/>
    <cellStyle name="Commentaire 5 8" xfId="223"/>
    <cellStyle name="Commentaire 5 8 2" xfId="639"/>
    <cellStyle name="Commentaire 5 9" xfId="640"/>
    <cellStyle name="Commentaire 5 9 2" xfId="641"/>
    <cellStyle name="Commentaire 6" xfId="70"/>
    <cellStyle name="Commentaire 6 10" xfId="642"/>
    <cellStyle name="Commentaire 6 11" xfId="643"/>
    <cellStyle name="Commentaire 6 12" xfId="644"/>
    <cellStyle name="Commentaire 6 2" xfId="71"/>
    <cellStyle name="Commentaire 6 2 2" xfId="645"/>
    <cellStyle name="Commentaire 6 2 3" xfId="646"/>
    <cellStyle name="Commentaire 6 2 4" xfId="647"/>
    <cellStyle name="Commentaire 6 3" xfId="72"/>
    <cellStyle name="Commentaire 6 3 2" xfId="648"/>
    <cellStyle name="Commentaire 6 3 3" xfId="649"/>
    <cellStyle name="Commentaire 6 3 4" xfId="650"/>
    <cellStyle name="Commentaire 6 4" xfId="73"/>
    <cellStyle name="Commentaire 6 4 2" xfId="651"/>
    <cellStyle name="Commentaire 6 4 3" xfId="652"/>
    <cellStyle name="Commentaire 6 4 4" xfId="653"/>
    <cellStyle name="Commentaire 6 5" xfId="224"/>
    <cellStyle name="Commentaire 6 5 2" xfId="654"/>
    <cellStyle name="Commentaire 6 6" xfId="225"/>
    <cellStyle name="Commentaire 6 6 2" xfId="655"/>
    <cellStyle name="Commentaire 6 7" xfId="226"/>
    <cellStyle name="Commentaire 6 7 2" xfId="656"/>
    <cellStyle name="Commentaire 6 8" xfId="227"/>
    <cellStyle name="Commentaire 6 8 2" xfId="657"/>
    <cellStyle name="Commentaire 6 9" xfId="658"/>
    <cellStyle name="Commentaire 6 9 2" xfId="659"/>
    <cellStyle name="Commentaire 7" xfId="74"/>
    <cellStyle name="Commentaire 7 10" xfId="660"/>
    <cellStyle name="Commentaire 7 11" xfId="661"/>
    <cellStyle name="Commentaire 7 12" xfId="662"/>
    <cellStyle name="Commentaire 7 2" xfId="75"/>
    <cellStyle name="Commentaire 7 2 2" xfId="663"/>
    <cellStyle name="Commentaire 7 2 3" xfId="664"/>
    <cellStyle name="Commentaire 7 2 4" xfId="665"/>
    <cellStyle name="Commentaire 7 3" xfId="76"/>
    <cellStyle name="Commentaire 7 3 2" xfId="666"/>
    <cellStyle name="Commentaire 7 3 3" xfId="667"/>
    <cellStyle name="Commentaire 7 3 4" xfId="668"/>
    <cellStyle name="Commentaire 7 4" xfId="77"/>
    <cellStyle name="Commentaire 7 4 2" xfId="669"/>
    <cellStyle name="Commentaire 7 4 3" xfId="670"/>
    <cellStyle name="Commentaire 7 4 4" xfId="671"/>
    <cellStyle name="Commentaire 7 5" xfId="228"/>
    <cellStyle name="Commentaire 7 5 2" xfId="672"/>
    <cellStyle name="Commentaire 7 6" xfId="229"/>
    <cellStyle name="Commentaire 7 6 2" xfId="673"/>
    <cellStyle name="Commentaire 7 7" xfId="230"/>
    <cellStyle name="Commentaire 7 7 2" xfId="674"/>
    <cellStyle name="Commentaire 7 8" xfId="231"/>
    <cellStyle name="Commentaire 7 8 2" xfId="675"/>
    <cellStyle name="Commentaire 7 9" xfId="676"/>
    <cellStyle name="Commentaire 7 9 2" xfId="677"/>
    <cellStyle name="Commentaire 8" xfId="232"/>
    <cellStyle name="Commentaire 8 10" xfId="678"/>
    <cellStyle name="Commentaire 8 11" xfId="679"/>
    <cellStyle name="Commentaire 8 12" xfId="680"/>
    <cellStyle name="Commentaire 8 2" xfId="233"/>
    <cellStyle name="Commentaire 8 2 2" xfId="681"/>
    <cellStyle name="Commentaire 8 2 3" xfId="682"/>
    <cellStyle name="Commentaire 8 2 4" xfId="683"/>
    <cellStyle name="Commentaire 8 3" xfId="234"/>
    <cellStyle name="Commentaire 8 3 2" xfId="684"/>
    <cellStyle name="Commentaire 8 3 3" xfId="685"/>
    <cellStyle name="Commentaire 8 3 4" xfId="686"/>
    <cellStyle name="Commentaire 8 4" xfId="235"/>
    <cellStyle name="Commentaire 8 4 2" xfId="687"/>
    <cellStyle name="Commentaire 8 4 3" xfId="688"/>
    <cellStyle name="Commentaire 8 4 4" xfId="689"/>
    <cellStyle name="Commentaire 8 5" xfId="236"/>
    <cellStyle name="Commentaire 8 5 2" xfId="690"/>
    <cellStyle name="Commentaire 8 6" xfId="237"/>
    <cellStyle name="Commentaire 8 6 2" xfId="691"/>
    <cellStyle name="Commentaire 8 7" xfId="238"/>
    <cellStyle name="Commentaire 8 7 2" xfId="692"/>
    <cellStyle name="Commentaire 8 8" xfId="239"/>
    <cellStyle name="Commentaire 8 8 2" xfId="693"/>
    <cellStyle name="Commentaire 8 9" xfId="694"/>
    <cellStyle name="Commentaire 8 9 2" xfId="695"/>
    <cellStyle name="Commentaire 9" xfId="696"/>
    <cellStyle name="Commentaire 9 2" xfId="697"/>
    <cellStyle name="Commentaire 9 2 2" xfId="698"/>
    <cellStyle name="Commentaire 9 2 3" xfId="699"/>
    <cellStyle name="Commentaire 9 3" xfId="700"/>
    <cellStyle name="Commentaire 9 3 2" xfId="701"/>
    <cellStyle name="Commentaire 9 4" xfId="702"/>
    <cellStyle name="Commentaire 9 4 2" xfId="703"/>
    <cellStyle name="Commentaire 9 5" xfId="704"/>
    <cellStyle name="Commentaire 9 6" xfId="705"/>
    <cellStyle name="Entrée 10" xfId="706"/>
    <cellStyle name="Entrée 10 2" xfId="707"/>
    <cellStyle name="Entrée 10 2 2" xfId="708"/>
    <cellStyle name="Entrée 10 2 3" xfId="709"/>
    <cellStyle name="Entrée 10 3" xfId="710"/>
    <cellStyle name="Entrée 10 3 2" xfId="711"/>
    <cellStyle name="Entrée 10 4" xfId="712"/>
    <cellStyle name="Entrée 10 5" xfId="713"/>
    <cellStyle name="Entrée 11" xfId="714"/>
    <cellStyle name="Entrée 11 2" xfId="715"/>
    <cellStyle name="Entrée 11 2 2" xfId="716"/>
    <cellStyle name="Entrée 11 3" xfId="717"/>
    <cellStyle name="Entrée 11 3 2" xfId="718"/>
    <cellStyle name="Entrée 11 4" xfId="719"/>
    <cellStyle name="Entrée 12" xfId="720"/>
    <cellStyle name="Entrée 12 2" xfId="721"/>
    <cellStyle name="Entrée 2" xfId="78"/>
    <cellStyle name="Entrée 2 10" xfId="722"/>
    <cellStyle name="Entrée 2 11" xfId="723"/>
    <cellStyle name="Entrée 2 12" xfId="724"/>
    <cellStyle name="Entrée 2 2" xfId="79"/>
    <cellStyle name="Entrée 2 2 2" xfId="725"/>
    <cellStyle name="Entrée 2 2 2 2" xfId="726"/>
    <cellStyle name="Entrée 2 2 2 3" xfId="727"/>
    <cellStyle name="Entrée 2 2 2 4" xfId="728"/>
    <cellStyle name="Entrée 2 2 3" xfId="729"/>
    <cellStyle name="Entrée 2 2 3 2" xfId="730"/>
    <cellStyle name="Entrée 2 2 3 3" xfId="731"/>
    <cellStyle name="Entrée 2 2 4" xfId="732"/>
    <cellStyle name="Entrée 2 2 4 2" xfId="733"/>
    <cellStyle name="Entrée 2 2 5" xfId="734"/>
    <cellStyle name="Entrée 2 2 6" xfId="735"/>
    <cellStyle name="Entrée 2 3" xfId="80"/>
    <cellStyle name="Entrée 2 3 2" xfId="736"/>
    <cellStyle name="Entrée 2 3 3" xfId="737"/>
    <cellStyle name="Entrée 2 3 4" xfId="738"/>
    <cellStyle name="Entrée 2 4" xfId="81"/>
    <cellStyle name="Entrée 2 4 2" xfId="739"/>
    <cellStyle name="Entrée 2 4 3" xfId="740"/>
    <cellStyle name="Entrée 2 4 4" xfId="741"/>
    <cellStyle name="Entrée 2 5" xfId="240"/>
    <cellStyle name="Entrée 2 5 2" xfId="742"/>
    <cellStyle name="Entrée 2 5 3" xfId="743"/>
    <cellStyle name="Entrée 2 5 4" xfId="744"/>
    <cellStyle name="Entrée 2 6" xfId="241"/>
    <cellStyle name="Entrée 2 6 2" xfId="745"/>
    <cellStyle name="Entrée 2 7" xfId="242"/>
    <cellStyle name="Entrée 2 7 2" xfId="746"/>
    <cellStyle name="Entrée 2 8" xfId="243"/>
    <cellStyle name="Entrée 2 8 2" xfId="747"/>
    <cellStyle name="Entrée 2 9" xfId="748"/>
    <cellStyle name="Entrée 2 9 2" xfId="749"/>
    <cellStyle name="Entrée 3" xfId="82"/>
    <cellStyle name="Entrée 3 10" xfId="750"/>
    <cellStyle name="Entrée 3 11" xfId="751"/>
    <cellStyle name="Entrée 3 12" xfId="752"/>
    <cellStyle name="Entrée 3 2" xfId="83"/>
    <cellStyle name="Entrée 3 2 2" xfId="753"/>
    <cellStyle name="Entrée 3 2 2 2" xfId="754"/>
    <cellStyle name="Entrée 3 2 2 3" xfId="755"/>
    <cellStyle name="Entrée 3 2 2 4" xfId="756"/>
    <cellStyle name="Entrée 3 2 3" xfId="757"/>
    <cellStyle name="Entrée 3 2 3 2" xfId="758"/>
    <cellStyle name="Entrée 3 2 3 3" xfId="759"/>
    <cellStyle name="Entrée 3 2 4" xfId="760"/>
    <cellStyle name="Entrée 3 2 4 2" xfId="761"/>
    <cellStyle name="Entrée 3 2 5" xfId="762"/>
    <cellStyle name="Entrée 3 2 6" xfId="763"/>
    <cellStyle name="Entrée 3 3" xfId="84"/>
    <cellStyle name="Entrée 3 3 2" xfId="764"/>
    <cellStyle name="Entrée 3 3 3" xfId="765"/>
    <cellStyle name="Entrée 3 3 4" xfId="766"/>
    <cellStyle name="Entrée 3 4" xfId="85"/>
    <cellStyle name="Entrée 3 4 2" xfId="767"/>
    <cellStyle name="Entrée 3 4 3" xfId="768"/>
    <cellStyle name="Entrée 3 4 4" xfId="769"/>
    <cellStyle name="Entrée 3 5" xfId="244"/>
    <cellStyle name="Entrée 3 5 2" xfId="770"/>
    <cellStyle name="Entrée 3 5 3" xfId="771"/>
    <cellStyle name="Entrée 3 5 4" xfId="772"/>
    <cellStyle name="Entrée 3 6" xfId="245"/>
    <cellStyle name="Entrée 3 6 2" xfId="773"/>
    <cellStyle name="Entrée 3 7" xfId="246"/>
    <cellStyle name="Entrée 3 7 2" xfId="774"/>
    <cellStyle name="Entrée 3 8" xfId="247"/>
    <cellStyle name="Entrée 3 8 2" xfId="775"/>
    <cellStyle name="Entrée 3 9" xfId="776"/>
    <cellStyle name="Entrée 3 9 2" xfId="777"/>
    <cellStyle name="Entrée 4" xfId="86"/>
    <cellStyle name="Entrée 4 10" xfId="778"/>
    <cellStyle name="Entrée 4 11" xfId="779"/>
    <cellStyle name="Entrée 4 12" xfId="780"/>
    <cellStyle name="Entrée 4 2" xfId="87"/>
    <cellStyle name="Entrée 4 2 2" xfId="781"/>
    <cellStyle name="Entrée 4 2 2 2" xfId="782"/>
    <cellStyle name="Entrée 4 2 2 3" xfId="783"/>
    <cellStyle name="Entrée 4 2 2 4" xfId="784"/>
    <cellStyle name="Entrée 4 2 3" xfId="785"/>
    <cellStyle name="Entrée 4 2 3 2" xfId="786"/>
    <cellStyle name="Entrée 4 2 3 3" xfId="787"/>
    <cellStyle name="Entrée 4 2 4" xfId="788"/>
    <cellStyle name="Entrée 4 2 4 2" xfId="789"/>
    <cellStyle name="Entrée 4 2 5" xfId="790"/>
    <cellStyle name="Entrée 4 2 6" xfId="791"/>
    <cellStyle name="Entrée 4 3" xfId="88"/>
    <cellStyle name="Entrée 4 3 2" xfId="792"/>
    <cellStyle name="Entrée 4 3 3" xfId="793"/>
    <cellStyle name="Entrée 4 3 4" xfId="794"/>
    <cellStyle name="Entrée 4 4" xfId="89"/>
    <cellStyle name="Entrée 4 4 2" xfId="795"/>
    <cellStyle name="Entrée 4 4 3" xfId="796"/>
    <cellStyle name="Entrée 4 4 4" xfId="797"/>
    <cellStyle name="Entrée 4 5" xfId="248"/>
    <cellStyle name="Entrée 4 5 2" xfId="798"/>
    <cellStyle name="Entrée 4 5 3" xfId="799"/>
    <cellStyle name="Entrée 4 5 4" xfId="800"/>
    <cellStyle name="Entrée 4 6" xfId="249"/>
    <cellStyle name="Entrée 4 6 2" xfId="801"/>
    <cellStyle name="Entrée 4 7" xfId="250"/>
    <cellStyle name="Entrée 4 7 2" xfId="802"/>
    <cellStyle name="Entrée 4 8" xfId="251"/>
    <cellStyle name="Entrée 4 8 2" xfId="803"/>
    <cellStyle name="Entrée 4 9" xfId="804"/>
    <cellStyle name="Entrée 4 9 2" xfId="805"/>
    <cellStyle name="Entrée 5" xfId="90"/>
    <cellStyle name="Entrée 5 10" xfId="806"/>
    <cellStyle name="Entrée 5 11" xfId="807"/>
    <cellStyle name="Entrée 5 12" xfId="808"/>
    <cellStyle name="Entrée 5 2" xfId="91"/>
    <cellStyle name="Entrée 5 2 2" xfId="809"/>
    <cellStyle name="Entrée 5 2 3" xfId="810"/>
    <cellStyle name="Entrée 5 2 4" xfId="811"/>
    <cellStyle name="Entrée 5 3" xfId="92"/>
    <cellStyle name="Entrée 5 3 2" xfId="812"/>
    <cellStyle name="Entrée 5 3 3" xfId="813"/>
    <cellStyle name="Entrée 5 3 4" xfId="814"/>
    <cellStyle name="Entrée 5 4" xfId="93"/>
    <cellStyle name="Entrée 5 4 2" xfId="815"/>
    <cellStyle name="Entrée 5 4 3" xfId="816"/>
    <cellStyle name="Entrée 5 4 4" xfId="817"/>
    <cellStyle name="Entrée 5 5" xfId="252"/>
    <cellStyle name="Entrée 5 5 2" xfId="818"/>
    <cellStyle name="Entrée 5 6" xfId="253"/>
    <cellStyle name="Entrée 5 6 2" xfId="819"/>
    <cellStyle name="Entrée 5 7" xfId="254"/>
    <cellStyle name="Entrée 5 7 2" xfId="820"/>
    <cellStyle name="Entrée 5 8" xfId="255"/>
    <cellStyle name="Entrée 5 8 2" xfId="821"/>
    <cellStyle name="Entrée 5 9" xfId="822"/>
    <cellStyle name="Entrée 5 9 2" xfId="823"/>
    <cellStyle name="Entrée 6" xfId="94"/>
    <cellStyle name="Entrée 6 10" xfId="824"/>
    <cellStyle name="Entrée 6 11" xfId="825"/>
    <cellStyle name="Entrée 6 12" xfId="826"/>
    <cellStyle name="Entrée 6 2" xfId="95"/>
    <cellStyle name="Entrée 6 2 2" xfId="827"/>
    <cellStyle name="Entrée 6 2 3" xfId="828"/>
    <cellStyle name="Entrée 6 2 4" xfId="829"/>
    <cellStyle name="Entrée 6 3" xfId="96"/>
    <cellStyle name="Entrée 6 3 2" xfId="830"/>
    <cellStyle name="Entrée 6 3 3" xfId="831"/>
    <cellStyle name="Entrée 6 3 4" xfId="832"/>
    <cellStyle name="Entrée 6 4" xfId="97"/>
    <cellStyle name="Entrée 6 4 2" xfId="833"/>
    <cellStyle name="Entrée 6 4 3" xfId="834"/>
    <cellStyle name="Entrée 6 4 4" xfId="835"/>
    <cellStyle name="Entrée 6 5" xfId="256"/>
    <cellStyle name="Entrée 6 5 2" xfId="836"/>
    <cellStyle name="Entrée 6 6" xfId="257"/>
    <cellStyle name="Entrée 6 6 2" xfId="837"/>
    <cellStyle name="Entrée 6 7" xfId="258"/>
    <cellStyle name="Entrée 6 7 2" xfId="838"/>
    <cellStyle name="Entrée 6 8" xfId="259"/>
    <cellStyle name="Entrée 6 8 2" xfId="839"/>
    <cellStyle name="Entrée 6 9" xfId="840"/>
    <cellStyle name="Entrée 6 9 2" xfId="841"/>
    <cellStyle name="Entrée 7" xfId="98"/>
    <cellStyle name="Entrée 7 10" xfId="842"/>
    <cellStyle name="Entrée 7 11" xfId="843"/>
    <cellStyle name="Entrée 7 12" xfId="844"/>
    <cellStyle name="Entrée 7 2" xfId="99"/>
    <cellStyle name="Entrée 7 2 2" xfId="845"/>
    <cellStyle name="Entrée 7 2 3" xfId="846"/>
    <cellStyle name="Entrée 7 2 4" xfId="847"/>
    <cellStyle name="Entrée 7 3" xfId="100"/>
    <cellStyle name="Entrée 7 3 2" xfId="848"/>
    <cellStyle name="Entrée 7 3 3" xfId="849"/>
    <cellStyle name="Entrée 7 3 4" xfId="850"/>
    <cellStyle name="Entrée 7 4" xfId="101"/>
    <cellStyle name="Entrée 7 4 2" xfId="851"/>
    <cellStyle name="Entrée 7 4 3" xfId="852"/>
    <cellStyle name="Entrée 7 4 4" xfId="853"/>
    <cellStyle name="Entrée 7 5" xfId="260"/>
    <cellStyle name="Entrée 7 5 2" xfId="854"/>
    <cellStyle name="Entrée 7 6" xfId="261"/>
    <cellStyle name="Entrée 7 6 2" xfId="855"/>
    <cellStyle name="Entrée 7 7" xfId="262"/>
    <cellStyle name="Entrée 7 7 2" xfId="856"/>
    <cellStyle name="Entrée 7 8" xfId="263"/>
    <cellStyle name="Entrée 7 8 2" xfId="857"/>
    <cellStyle name="Entrée 7 9" xfId="858"/>
    <cellStyle name="Entrée 7 9 2" xfId="859"/>
    <cellStyle name="Entrée 8" xfId="264"/>
    <cellStyle name="Entrée 8 10" xfId="860"/>
    <cellStyle name="Entrée 8 11" xfId="861"/>
    <cellStyle name="Entrée 8 12" xfId="862"/>
    <cellStyle name="Entrée 8 2" xfId="265"/>
    <cellStyle name="Entrée 8 2 2" xfId="863"/>
    <cellStyle name="Entrée 8 2 3" xfId="864"/>
    <cellStyle name="Entrée 8 2 4" xfId="865"/>
    <cellStyle name="Entrée 8 3" xfId="266"/>
    <cellStyle name="Entrée 8 3 2" xfId="866"/>
    <cellStyle name="Entrée 8 3 3" xfId="867"/>
    <cellStyle name="Entrée 8 3 4" xfId="868"/>
    <cellStyle name="Entrée 8 4" xfId="267"/>
    <cellStyle name="Entrée 8 4 2" xfId="869"/>
    <cellStyle name="Entrée 8 4 3" xfId="870"/>
    <cellStyle name="Entrée 8 4 4" xfId="871"/>
    <cellStyle name="Entrée 8 5" xfId="268"/>
    <cellStyle name="Entrée 8 5 2" xfId="872"/>
    <cellStyle name="Entrée 8 6" xfId="269"/>
    <cellStyle name="Entrée 8 6 2" xfId="873"/>
    <cellStyle name="Entrée 8 7" xfId="270"/>
    <cellStyle name="Entrée 8 7 2" xfId="874"/>
    <cellStyle name="Entrée 8 8" xfId="271"/>
    <cellStyle name="Entrée 8 8 2" xfId="875"/>
    <cellStyle name="Entrée 8 9" xfId="876"/>
    <cellStyle name="Entrée 8 9 2" xfId="877"/>
    <cellStyle name="Entrée 9" xfId="878"/>
    <cellStyle name="Entrée 9 2" xfId="879"/>
    <cellStyle name="Entrée 9 2 2" xfId="880"/>
    <cellStyle name="Entrée 9 2 3" xfId="881"/>
    <cellStyle name="Entrée 9 3" xfId="882"/>
    <cellStyle name="Entrée 9 3 2" xfId="883"/>
    <cellStyle name="Entrée 9 4" xfId="884"/>
    <cellStyle name="Entrée 9 4 2" xfId="885"/>
    <cellStyle name="Entrée 9 5" xfId="886"/>
    <cellStyle name="Entrée 9 6" xfId="887"/>
    <cellStyle name="Insatisfaisant 2" xfId="102"/>
    <cellStyle name="Milliers" xfId="340" builtinId="3"/>
    <cellStyle name="Milliers 2" xfId="103"/>
    <cellStyle name="Milliers 2 2" xfId="175"/>
    <cellStyle name="Milliers 3" xfId="104"/>
    <cellStyle name="Neutre 2" xfId="105"/>
    <cellStyle name="Normal" xfId="0" builtinId="0"/>
    <cellStyle name="Normal 10" xfId="338"/>
    <cellStyle name="Normal 11" xfId="341"/>
    <cellStyle name="Normal 12" xfId="1285"/>
    <cellStyle name="Normal 13" xfId="1286"/>
    <cellStyle name="Normal 2" xfId="2"/>
    <cellStyle name="Normal 2 2" xfId="106"/>
    <cellStyle name="Normal 2 3" xfId="174"/>
    <cellStyle name="Normal 3" xfId="107"/>
    <cellStyle name="Normal 4" xfId="108"/>
    <cellStyle name="Normal 4 2" xfId="337"/>
    <cellStyle name="Normal 4 2 2" xfId="888"/>
    <cellStyle name="Normal 4 2 2 2" xfId="889"/>
    <cellStyle name="Normal 4 2 2 2 2" xfId="890"/>
    <cellStyle name="Normal 4 2 2 3" xfId="891"/>
    <cellStyle name="Normal 4 2 2 4" xfId="892"/>
    <cellStyle name="Normal 4 2 3" xfId="893"/>
    <cellStyle name="Normal 4 2 3 2" xfId="894"/>
    <cellStyle name="Normal 4 2 4" xfId="895"/>
    <cellStyle name="Normal 4 2 5" xfId="896"/>
    <cellStyle name="Normal 4 3" xfId="339"/>
    <cellStyle name="Normal 4 3 2" xfId="897"/>
    <cellStyle name="Normal 4 3 2 2" xfId="898"/>
    <cellStyle name="Normal 4 3 3" xfId="899"/>
    <cellStyle name="Normal 4 3 4" xfId="900"/>
    <cellStyle name="Normal 4 4" xfId="901"/>
    <cellStyle name="Normal 4 4 2" xfId="902"/>
    <cellStyle name="Normal 4 4 2 2" xfId="903"/>
    <cellStyle name="Normal 4 4 3" xfId="904"/>
    <cellStyle name="Normal 4 4 4" xfId="905"/>
    <cellStyle name="Normal 4 5" xfId="906"/>
    <cellStyle name="Normal 4 5 2" xfId="907"/>
    <cellStyle name="Normal 4 5 3" xfId="908"/>
    <cellStyle name="Normal 4 6" xfId="909"/>
    <cellStyle name="Normal 4 7" xfId="910"/>
    <cellStyle name="Normal 5" xfId="109"/>
    <cellStyle name="Normal 5 2" xfId="110"/>
    <cellStyle name="Normal 5 3" xfId="911"/>
    <cellStyle name="Normal 5 4" xfId="1282"/>
    <cellStyle name="Normal 6" xfId="111"/>
    <cellStyle name="Normal 7" xfId="112"/>
    <cellStyle name="Normal 8" xfId="113"/>
    <cellStyle name="Normal 9" xfId="336"/>
    <cellStyle name="Pourcentage" xfId="1" builtinId="5"/>
    <cellStyle name="Pourcentage 2" xfId="3"/>
    <cellStyle name="Pourcentage 3" xfId="114"/>
    <cellStyle name="Pourcentage 3 2" xfId="115"/>
    <cellStyle name="Pourcentage 3 3" xfId="912"/>
    <cellStyle name="Pourcentage 3 4" xfId="1283"/>
    <cellStyle name="Pourcentage 4" xfId="116"/>
    <cellStyle name="Pourcentage 4 2" xfId="913"/>
    <cellStyle name="Pourcentage 5" xfId="117"/>
    <cellStyle name="Pourcentage 5 2" xfId="914"/>
    <cellStyle name="Pourcentage 6" xfId="915"/>
    <cellStyle name="Pourcentage 7" xfId="916"/>
    <cellStyle name="Pourcentage 7 2" xfId="1284"/>
    <cellStyle name="Pourcentage 8" xfId="917"/>
    <cellStyle name="Satisfaisant 2" xfId="118"/>
    <cellStyle name="Sortie 10" xfId="918"/>
    <cellStyle name="Sortie 10 2" xfId="919"/>
    <cellStyle name="Sortie 10 2 2" xfId="920"/>
    <cellStyle name="Sortie 10 2 3" xfId="921"/>
    <cellStyle name="Sortie 10 3" xfId="922"/>
    <cellStyle name="Sortie 10 3 2" xfId="923"/>
    <cellStyle name="Sortie 10 4" xfId="924"/>
    <cellStyle name="Sortie 10 5" xfId="925"/>
    <cellStyle name="Sortie 11" xfId="926"/>
    <cellStyle name="Sortie 11 2" xfId="927"/>
    <cellStyle name="Sortie 11 2 2" xfId="928"/>
    <cellStyle name="Sortie 11 3" xfId="929"/>
    <cellStyle name="Sortie 11 3 2" xfId="930"/>
    <cellStyle name="Sortie 11 4" xfId="931"/>
    <cellStyle name="Sortie 12" xfId="932"/>
    <cellStyle name="Sortie 12 2" xfId="933"/>
    <cellStyle name="Sortie 2" xfId="119"/>
    <cellStyle name="Sortie 2 10" xfId="934"/>
    <cellStyle name="Sortie 2 11" xfId="935"/>
    <cellStyle name="Sortie 2 12" xfId="936"/>
    <cellStyle name="Sortie 2 2" xfId="120"/>
    <cellStyle name="Sortie 2 2 2" xfId="937"/>
    <cellStyle name="Sortie 2 2 2 2" xfId="938"/>
    <cellStyle name="Sortie 2 2 2 3" xfId="939"/>
    <cellStyle name="Sortie 2 2 2 4" xfId="940"/>
    <cellStyle name="Sortie 2 2 3" xfId="941"/>
    <cellStyle name="Sortie 2 2 3 2" xfId="942"/>
    <cellStyle name="Sortie 2 2 3 3" xfId="943"/>
    <cellStyle name="Sortie 2 2 4" xfId="944"/>
    <cellStyle name="Sortie 2 2 4 2" xfId="945"/>
    <cellStyle name="Sortie 2 2 5" xfId="946"/>
    <cellStyle name="Sortie 2 2 6" xfId="947"/>
    <cellStyle name="Sortie 2 3" xfId="121"/>
    <cellStyle name="Sortie 2 3 2" xfId="948"/>
    <cellStyle name="Sortie 2 3 3" xfId="949"/>
    <cellStyle name="Sortie 2 3 4" xfId="950"/>
    <cellStyle name="Sortie 2 4" xfId="122"/>
    <cellStyle name="Sortie 2 4 2" xfId="951"/>
    <cellStyle name="Sortie 2 4 3" xfId="952"/>
    <cellStyle name="Sortie 2 4 4" xfId="953"/>
    <cellStyle name="Sortie 2 5" xfId="272"/>
    <cellStyle name="Sortie 2 5 2" xfId="954"/>
    <cellStyle name="Sortie 2 5 3" xfId="955"/>
    <cellStyle name="Sortie 2 5 4" xfId="956"/>
    <cellStyle name="Sortie 2 6" xfId="273"/>
    <cellStyle name="Sortie 2 6 2" xfId="957"/>
    <cellStyle name="Sortie 2 7" xfId="274"/>
    <cellStyle name="Sortie 2 7 2" xfId="958"/>
    <cellStyle name="Sortie 2 8" xfId="275"/>
    <cellStyle name="Sortie 2 8 2" xfId="959"/>
    <cellStyle name="Sortie 2 9" xfId="960"/>
    <cellStyle name="Sortie 2 9 2" xfId="961"/>
    <cellStyle name="Sortie 3" xfId="123"/>
    <cellStyle name="Sortie 3 10" xfId="962"/>
    <cellStyle name="Sortie 3 11" xfId="963"/>
    <cellStyle name="Sortie 3 12" xfId="964"/>
    <cellStyle name="Sortie 3 2" xfId="124"/>
    <cellStyle name="Sortie 3 2 2" xfId="965"/>
    <cellStyle name="Sortie 3 2 2 2" xfId="966"/>
    <cellStyle name="Sortie 3 2 2 3" xfId="967"/>
    <cellStyle name="Sortie 3 2 2 4" xfId="968"/>
    <cellStyle name="Sortie 3 2 3" xfId="969"/>
    <cellStyle name="Sortie 3 2 3 2" xfId="970"/>
    <cellStyle name="Sortie 3 2 3 3" xfId="971"/>
    <cellStyle name="Sortie 3 2 4" xfId="972"/>
    <cellStyle name="Sortie 3 2 4 2" xfId="973"/>
    <cellStyle name="Sortie 3 2 5" xfId="974"/>
    <cellStyle name="Sortie 3 2 6" xfId="975"/>
    <cellStyle name="Sortie 3 3" xfId="125"/>
    <cellStyle name="Sortie 3 3 2" xfId="976"/>
    <cellStyle name="Sortie 3 3 3" xfId="977"/>
    <cellStyle name="Sortie 3 3 4" xfId="978"/>
    <cellStyle name="Sortie 3 4" xfId="126"/>
    <cellStyle name="Sortie 3 4 2" xfId="979"/>
    <cellStyle name="Sortie 3 4 3" xfId="980"/>
    <cellStyle name="Sortie 3 4 4" xfId="981"/>
    <cellStyle name="Sortie 3 5" xfId="276"/>
    <cellStyle name="Sortie 3 5 2" xfId="982"/>
    <cellStyle name="Sortie 3 5 3" xfId="983"/>
    <cellStyle name="Sortie 3 5 4" xfId="984"/>
    <cellStyle name="Sortie 3 6" xfId="277"/>
    <cellStyle name="Sortie 3 6 2" xfId="985"/>
    <cellStyle name="Sortie 3 7" xfId="278"/>
    <cellStyle name="Sortie 3 7 2" xfId="986"/>
    <cellStyle name="Sortie 3 8" xfId="279"/>
    <cellStyle name="Sortie 3 8 2" xfId="987"/>
    <cellStyle name="Sortie 3 9" xfId="988"/>
    <cellStyle name="Sortie 3 9 2" xfId="989"/>
    <cellStyle name="Sortie 4" xfId="127"/>
    <cellStyle name="Sortie 4 10" xfId="990"/>
    <cellStyle name="Sortie 4 11" xfId="991"/>
    <cellStyle name="Sortie 4 12" xfId="992"/>
    <cellStyle name="Sortie 4 2" xfId="128"/>
    <cellStyle name="Sortie 4 2 2" xfId="993"/>
    <cellStyle name="Sortie 4 2 2 2" xfId="994"/>
    <cellStyle name="Sortie 4 2 2 3" xfId="995"/>
    <cellStyle name="Sortie 4 2 2 4" xfId="996"/>
    <cellStyle name="Sortie 4 2 3" xfId="997"/>
    <cellStyle name="Sortie 4 2 3 2" xfId="998"/>
    <cellStyle name="Sortie 4 2 3 3" xfId="999"/>
    <cellStyle name="Sortie 4 2 4" xfId="1000"/>
    <cellStyle name="Sortie 4 2 4 2" xfId="1001"/>
    <cellStyle name="Sortie 4 2 5" xfId="1002"/>
    <cellStyle name="Sortie 4 2 6" xfId="1003"/>
    <cellStyle name="Sortie 4 3" xfId="129"/>
    <cellStyle name="Sortie 4 3 2" xfId="1004"/>
    <cellStyle name="Sortie 4 3 3" xfId="1005"/>
    <cellStyle name="Sortie 4 3 4" xfId="1006"/>
    <cellStyle name="Sortie 4 4" xfId="130"/>
    <cellStyle name="Sortie 4 4 2" xfId="1007"/>
    <cellStyle name="Sortie 4 4 3" xfId="1008"/>
    <cellStyle name="Sortie 4 4 4" xfId="1009"/>
    <cellStyle name="Sortie 4 5" xfId="280"/>
    <cellStyle name="Sortie 4 5 2" xfId="1010"/>
    <cellStyle name="Sortie 4 5 3" xfId="1011"/>
    <cellStyle name="Sortie 4 5 4" xfId="1012"/>
    <cellStyle name="Sortie 4 6" xfId="281"/>
    <cellStyle name="Sortie 4 6 2" xfId="1013"/>
    <cellStyle name="Sortie 4 7" xfId="282"/>
    <cellStyle name="Sortie 4 7 2" xfId="1014"/>
    <cellStyle name="Sortie 4 8" xfId="283"/>
    <cellStyle name="Sortie 4 8 2" xfId="1015"/>
    <cellStyle name="Sortie 4 9" xfId="1016"/>
    <cellStyle name="Sortie 4 9 2" xfId="1017"/>
    <cellStyle name="Sortie 5" xfId="131"/>
    <cellStyle name="Sortie 5 10" xfId="1018"/>
    <cellStyle name="Sortie 5 11" xfId="1019"/>
    <cellStyle name="Sortie 5 12" xfId="1020"/>
    <cellStyle name="Sortie 5 2" xfId="132"/>
    <cellStyle name="Sortie 5 2 2" xfId="1021"/>
    <cellStyle name="Sortie 5 2 3" xfId="1022"/>
    <cellStyle name="Sortie 5 2 4" xfId="1023"/>
    <cellStyle name="Sortie 5 3" xfId="133"/>
    <cellStyle name="Sortie 5 3 2" xfId="1024"/>
    <cellStyle name="Sortie 5 3 3" xfId="1025"/>
    <cellStyle name="Sortie 5 3 4" xfId="1026"/>
    <cellStyle name="Sortie 5 4" xfId="134"/>
    <cellStyle name="Sortie 5 4 2" xfId="1027"/>
    <cellStyle name="Sortie 5 4 3" xfId="1028"/>
    <cellStyle name="Sortie 5 4 4" xfId="1029"/>
    <cellStyle name="Sortie 5 5" xfId="284"/>
    <cellStyle name="Sortie 5 5 2" xfId="1030"/>
    <cellStyle name="Sortie 5 6" xfId="285"/>
    <cellStyle name="Sortie 5 6 2" xfId="1031"/>
    <cellStyle name="Sortie 5 7" xfId="286"/>
    <cellStyle name="Sortie 5 7 2" xfId="1032"/>
    <cellStyle name="Sortie 5 8" xfId="287"/>
    <cellStyle name="Sortie 5 8 2" xfId="1033"/>
    <cellStyle name="Sortie 5 9" xfId="1034"/>
    <cellStyle name="Sortie 5 9 2" xfId="1035"/>
    <cellStyle name="Sortie 6" xfId="135"/>
    <cellStyle name="Sortie 6 10" xfId="1036"/>
    <cellStyle name="Sortie 6 11" xfId="1037"/>
    <cellStyle name="Sortie 6 12" xfId="1038"/>
    <cellStyle name="Sortie 6 2" xfId="136"/>
    <cellStyle name="Sortie 6 2 2" xfId="1039"/>
    <cellStyle name="Sortie 6 2 3" xfId="1040"/>
    <cellStyle name="Sortie 6 2 4" xfId="1041"/>
    <cellStyle name="Sortie 6 3" xfId="137"/>
    <cellStyle name="Sortie 6 3 2" xfId="1042"/>
    <cellStyle name="Sortie 6 3 3" xfId="1043"/>
    <cellStyle name="Sortie 6 3 4" xfId="1044"/>
    <cellStyle name="Sortie 6 4" xfId="138"/>
    <cellStyle name="Sortie 6 4 2" xfId="1045"/>
    <cellStyle name="Sortie 6 4 3" xfId="1046"/>
    <cellStyle name="Sortie 6 4 4" xfId="1047"/>
    <cellStyle name="Sortie 6 5" xfId="288"/>
    <cellStyle name="Sortie 6 5 2" xfId="1048"/>
    <cellStyle name="Sortie 6 6" xfId="289"/>
    <cellStyle name="Sortie 6 6 2" xfId="1049"/>
    <cellStyle name="Sortie 6 7" xfId="290"/>
    <cellStyle name="Sortie 6 7 2" xfId="1050"/>
    <cellStyle name="Sortie 6 8" xfId="291"/>
    <cellStyle name="Sortie 6 8 2" xfId="1051"/>
    <cellStyle name="Sortie 6 9" xfId="1052"/>
    <cellStyle name="Sortie 6 9 2" xfId="1053"/>
    <cellStyle name="Sortie 7" xfId="139"/>
    <cellStyle name="Sortie 7 10" xfId="1054"/>
    <cellStyle name="Sortie 7 11" xfId="1055"/>
    <cellStyle name="Sortie 7 12" xfId="1056"/>
    <cellStyle name="Sortie 7 2" xfId="140"/>
    <cellStyle name="Sortie 7 2 2" xfId="1057"/>
    <cellStyle name="Sortie 7 2 3" xfId="1058"/>
    <cellStyle name="Sortie 7 2 4" xfId="1059"/>
    <cellStyle name="Sortie 7 3" xfId="141"/>
    <cellStyle name="Sortie 7 3 2" xfId="1060"/>
    <cellStyle name="Sortie 7 3 3" xfId="1061"/>
    <cellStyle name="Sortie 7 3 4" xfId="1062"/>
    <cellStyle name="Sortie 7 4" xfId="142"/>
    <cellStyle name="Sortie 7 4 2" xfId="1063"/>
    <cellStyle name="Sortie 7 4 3" xfId="1064"/>
    <cellStyle name="Sortie 7 4 4" xfId="1065"/>
    <cellStyle name="Sortie 7 5" xfId="292"/>
    <cellStyle name="Sortie 7 5 2" xfId="1066"/>
    <cellStyle name="Sortie 7 6" xfId="293"/>
    <cellStyle name="Sortie 7 6 2" xfId="1067"/>
    <cellStyle name="Sortie 7 7" xfId="294"/>
    <cellStyle name="Sortie 7 7 2" xfId="1068"/>
    <cellStyle name="Sortie 7 8" xfId="295"/>
    <cellStyle name="Sortie 7 8 2" xfId="1069"/>
    <cellStyle name="Sortie 7 9" xfId="1070"/>
    <cellStyle name="Sortie 7 9 2" xfId="1071"/>
    <cellStyle name="Sortie 8" xfId="296"/>
    <cellStyle name="Sortie 8 10" xfId="1072"/>
    <cellStyle name="Sortie 8 11" xfId="1073"/>
    <cellStyle name="Sortie 8 12" xfId="1074"/>
    <cellStyle name="Sortie 8 2" xfId="297"/>
    <cellStyle name="Sortie 8 2 2" xfId="1075"/>
    <cellStyle name="Sortie 8 2 3" xfId="1076"/>
    <cellStyle name="Sortie 8 2 4" xfId="1077"/>
    <cellStyle name="Sortie 8 3" xfId="298"/>
    <cellStyle name="Sortie 8 3 2" xfId="1078"/>
    <cellStyle name="Sortie 8 3 3" xfId="1079"/>
    <cellStyle name="Sortie 8 3 4" xfId="1080"/>
    <cellStyle name="Sortie 8 4" xfId="299"/>
    <cellStyle name="Sortie 8 4 2" xfId="1081"/>
    <cellStyle name="Sortie 8 4 3" xfId="1082"/>
    <cellStyle name="Sortie 8 4 4" xfId="1083"/>
    <cellStyle name="Sortie 8 5" xfId="300"/>
    <cellStyle name="Sortie 8 5 2" xfId="1084"/>
    <cellStyle name="Sortie 8 6" xfId="301"/>
    <cellStyle name="Sortie 8 6 2" xfId="1085"/>
    <cellStyle name="Sortie 8 7" xfId="302"/>
    <cellStyle name="Sortie 8 7 2" xfId="1086"/>
    <cellStyle name="Sortie 8 8" xfId="303"/>
    <cellStyle name="Sortie 8 8 2" xfId="1087"/>
    <cellStyle name="Sortie 8 9" xfId="1088"/>
    <cellStyle name="Sortie 8 9 2" xfId="1089"/>
    <cellStyle name="Sortie 9" xfId="1090"/>
    <cellStyle name="Sortie 9 2" xfId="1091"/>
    <cellStyle name="Sortie 9 2 2" xfId="1092"/>
    <cellStyle name="Sortie 9 2 3" xfId="1093"/>
    <cellStyle name="Sortie 9 3" xfId="1094"/>
    <cellStyle name="Sortie 9 3 2" xfId="1095"/>
    <cellStyle name="Sortie 9 4" xfId="1096"/>
    <cellStyle name="Sortie 9 4 2" xfId="1097"/>
    <cellStyle name="Sortie 9 5" xfId="1098"/>
    <cellStyle name="Sortie 9 6" xfId="1099"/>
    <cellStyle name="Texte explicatif 2" xfId="143"/>
    <cellStyle name="Titre 1" xfId="144"/>
    <cellStyle name="Titre 1 2" xfId="145"/>
    <cellStyle name="Titre 2 2" xfId="146"/>
    <cellStyle name="Titre 3 2" xfId="147"/>
    <cellStyle name="Titre 4 2" xfId="148"/>
    <cellStyle name="Total 10" xfId="1100"/>
    <cellStyle name="Total 10 2" xfId="1101"/>
    <cellStyle name="Total 10 2 2" xfId="1102"/>
    <cellStyle name="Total 10 2 3" xfId="1103"/>
    <cellStyle name="Total 10 3" xfId="1104"/>
    <cellStyle name="Total 10 3 2" xfId="1105"/>
    <cellStyle name="Total 10 4" xfId="1106"/>
    <cellStyle name="Total 10 5" xfId="1107"/>
    <cellStyle name="Total 11" xfId="1108"/>
    <cellStyle name="Total 11 2" xfId="1109"/>
    <cellStyle name="Total 11 2 2" xfId="1110"/>
    <cellStyle name="Total 11 3" xfId="1111"/>
    <cellStyle name="Total 11 3 2" xfId="1112"/>
    <cellStyle name="Total 11 4" xfId="1113"/>
    <cellStyle name="Total 12" xfId="1114"/>
    <cellStyle name="Total 12 2" xfId="1115"/>
    <cellStyle name="Total 2" xfId="149"/>
    <cellStyle name="Total 2 10" xfId="1116"/>
    <cellStyle name="Total 2 11" xfId="1117"/>
    <cellStyle name="Total 2 12" xfId="1118"/>
    <cellStyle name="Total 2 2" xfId="150"/>
    <cellStyle name="Total 2 2 2" xfId="1119"/>
    <cellStyle name="Total 2 2 2 2" xfId="1120"/>
    <cellStyle name="Total 2 2 2 3" xfId="1121"/>
    <cellStyle name="Total 2 2 2 4" xfId="1122"/>
    <cellStyle name="Total 2 2 3" xfId="1123"/>
    <cellStyle name="Total 2 2 3 2" xfId="1124"/>
    <cellStyle name="Total 2 2 3 3" xfId="1125"/>
    <cellStyle name="Total 2 2 4" xfId="1126"/>
    <cellStyle name="Total 2 2 4 2" xfId="1127"/>
    <cellStyle name="Total 2 2 5" xfId="1128"/>
    <cellStyle name="Total 2 2 6" xfId="1129"/>
    <cellStyle name="Total 2 3" xfId="151"/>
    <cellStyle name="Total 2 3 2" xfId="1130"/>
    <cellStyle name="Total 2 3 3" xfId="1131"/>
    <cellStyle name="Total 2 3 4" xfId="1132"/>
    <cellStyle name="Total 2 4" xfId="152"/>
    <cellStyle name="Total 2 4 2" xfId="1133"/>
    <cellStyle name="Total 2 4 3" xfId="1134"/>
    <cellStyle name="Total 2 4 4" xfId="1135"/>
    <cellStyle name="Total 2 5" xfId="304"/>
    <cellStyle name="Total 2 5 2" xfId="1136"/>
    <cellStyle name="Total 2 5 3" xfId="1137"/>
    <cellStyle name="Total 2 5 4" xfId="1138"/>
    <cellStyle name="Total 2 6" xfId="305"/>
    <cellStyle name="Total 2 6 2" xfId="1139"/>
    <cellStyle name="Total 2 7" xfId="306"/>
    <cellStyle name="Total 2 7 2" xfId="1140"/>
    <cellStyle name="Total 2 8" xfId="307"/>
    <cellStyle name="Total 2 8 2" xfId="1141"/>
    <cellStyle name="Total 2 9" xfId="1142"/>
    <cellStyle name="Total 2 9 2" xfId="1143"/>
    <cellStyle name="Total 3" xfId="153"/>
    <cellStyle name="Total 3 10" xfId="1144"/>
    <cellStyle name="Total 3 11" xfId="1145"/>
    <cellStyle name="Total 3 12" xfId="1146"/>
    <cellStyle name="Total 3 2" xfId="154"/>
    <cellStyle name="Total 3 2 2" xfId="1147"/>
    <cellStyle name="Total 3 2 2 2" xfId="1148"/>
    <cellStyle name="Total 3 2 2 3" xfId="1149"/>
    <cellStyle name="Total 3 2 2 4" xfId="1150"/>
    <cellStyle name="Total 3 2 3" xfId="1151"/>
    <cellStyle name="Total 3 2 3 2" xfId="1152"/>
    <cellStyle name="Total 3 2 3 3" xfId="1153"/>
    <cellStyle name="Total 3 2 4" xfId="1154"/>
    <cellStyle name="Total 3 2 4 2" xfId="1155"/>
    <cellStyle name="Total 3 2 5" xfId="1156"/>
    <cellStyle name="Total 3 2 6" xfId="1157"/>
    <cellStyle name="Total 3 3" xfId="155"/>
    <cellStyle name="Total 3 3 2" xfId="1158"/>
    <cellStyle name="Total 3 3 3" xfId="1159"/>
    <cellStyle name="Total 3 3 4" xfId="1160"/>
    <cellStyle name="Total 3 4" xfId="156"/>
    <cellStyle name="Total 3 4 2" xfId="1161"/>
    <cellStyle name="Total 3 4 3" xfId="1162"/>
    <cellStyle name="Total 3 4 4" xfId="1163"/>
    <cellStyle name="Total 3 5" xfId="308"/>
    <cellStyle name="Total 3 5 2" xfId="1164"/>
    <cellStyle name="Total 3 5 3" xfId="1165"/>
    <cellStyle name="Total 3 5 4" xfId="1166"/>
    <cellStyle name="Total 3 6" xfId="309"/>
    <cellStyle name="Total 3 6 2" xfId="1167"/>
    <cellStyle name="Total 3 7" xfId="310"/>
    <cellStyle name="Total 3 7 2" xfId="1168"/>
    <cellStyle name="Total 3 8" xfId="311"/>
    <cellStyle name="Total 3 8 2" xfId="1169"/>
    <cellStyle name="Total 3 9" xfId="1170"/>
    <cellStyle name="Total 3 9 2" xfId="1171"/>
    <cellStyle name="Total 4" xfId="157"/>
    <cellStyle name="Total 4 10" xfId="1172"/>
    <cellStyle name="Total 4 11" xfId="1173"/>
    <cellStyle name="Total 4 12" xfId="1174"/>
    <cellStyle name="Total 4 2" xfId="158"/>
    <cellStyle name="Total 4 2 2" xfId="1175"/>
    <cellStyle name="Total 4 2 2 2" xfId="1176"/>
    <cellStyle name="Total 4 2 2 3" xfId="1177"/>
    <cellStyle name="Total 4 2 2 4" xfId="1178"/>
    <cellStyle name="Total 4 2 3" xfId="1179"/>
    <cellStyle name="Total 4 2 3 2" xfId="1180"/>
    <cellStyle name="Total 4 2 3 3" xfId="1181"/>
    <cellStyle name="Total 4 2 4" xfId="1182"/>
    <cellStyle name="Total 4 2 4 2" xfId="1183"/>
    <cellStyle name="Total 4 2 5" xfId="1184"/>
    <cellStyle name="Total 4 2 6" xfId="1185"/>
    <cellStyle name="Total 4 3" xfId="159"/>
    <cellStyle name="Total 4 3 2" xfId="1186"/>
    <cellStyle name="Total 4 3 3" xfId="1187"/>
    <cellStyle name="Total 4 3 4" xfId="1188"/>
    <cellStyle name="Total 4 4" xfId="160"/>
    <cellStyle name="Total 4 4 2" xfId="1189"/>
    <cellStyle name="Total 4 4 3" xfId="1190"/>
    <cellStyle name="Total 4 4 4" xfId="1191"/>
    <cellStyle name="Total 4 5" xfId="312"/>
    <cellStyle name="Total 4 5 2" xfId="1192"/>
    <cellStyle name="Total 4 5 3" xfId="1193"/>
    <cellStyle name="Total 4 5 4" xfId="1194"/>
    <cellStyle name="Total 4 6" xfId="313"/>
    <cellStyle name="Total 4 6 2" xfId="1195"/>
    <cellStyle name="Total 4 7" xfId="314"/>
    <cellStyle name="Total 4 7 2" xfId="1196"/>
    <cellStyle name="Total 4 8" xfId="315"/>
    <cellStyle name="Total 4 8 2" xfId="1197"/>
    <cellStyle name="Total 4 9" xfId="1198"/>
    <cellStyle name="Total 4 9 2" xfId="1199"/>
    <cellStyle name="Total 5" xfId="161"/>
    <cellStyle name="Total 5 10" xfId="1200"/>
    <cellStyle name="Total 5 11" xfId="1201"/>
    <cellStyle name="Total 5 12" xfId="1202"/>
    <cellStyle name="Total 5 2" xfId="162"/>
    <cellStyle name="Total 5 2 2" xfId="1203"/>
    <cellStyle name="Total 5 2 3" xfId="1204"/>
    <cellStyle name="Total 5 2 4" xfId="1205"/>
    <cellStyle name="Total 5 3" xfId="163"/>
    <cellStyle name="Total 5 3 2" xfId="1206"/>
    <cellStyle name="Total 5 3 3" xfId="1207"/>
    <cellStyle name="Total 5 3 4" xfId="1208"/>
    <cellStyle name="Total 5 4" xfId="164"/>
    <cellStyle name="Total 5 4 2" xfId="1209"/>
    <cellStyle name="Total 5 4 3" xfId="1210"/>
    <cellStyle name="Total 5 4 4" xfId="1211"/>
    <cellStyle name="Total 5 5" xfId="316"/>
    <cellStyle name="Total 5 5 2" xfId="1212"/>
    <cellStyle name="Total 5 6" xfId="317"/>
    <cellStyle name="Total 5 6 2" xfId="1213"/>
    <cellStyle name="Total 5 7" xfId="318"/>
    <cellStyle name="Total 5 7 2" xfId="1214"/>
    <cellStyle name="Total 5 8" xfId="319"/>
    <cellStyle name="Total 5 8 2" xfId="1215"/>
    <cellStyle name="Total 5 9" xfId="1216"/>
    <cellStyle name="Total 5 9 2" xfId="1217"/>
    <cellStyle name="Total 6" xfId="165"/>
    <cellStyle name="Total 6 10" xfId="1218"/>
    <cellStyle name="Total 6 11" xfId="1219"/>
    <cellStyle name="Total 6 12" xfId="1220"/>
    <cellStyle name="Total 6 2" xfId="166"/>
    <cellStyle name="Total 6 2 2" xfId="1221"/>
    <cellStyle name="Total 6 2 3" xfId="1222"/>
    <cellStyle name="Total 6 2 4" xfId="1223"/>
    <cellStyle name="Total 6 3" xfId="167"/>
    <cellStyle name="Total 6 3 2" xfId="1224"/>
    <cellStyle name="Total 6 3 3" xfId="1225"/>
    <cellStyle name="Total 6 3 4" xfId="1226"/>
    <cellStyle name="Total 6 4" xfId="168"/>
    <cellStyle name="Total 6 4 2" xfId="1227"/>
    <cellStyle name="Total 6 4 3" xfId="1228"/>
    <cellStyle name="Total 6 4 4" xfId="1229"/>
    <cellStyle name="Total 6 5" xfId="320"/>
    <cellStyle name="Total 6 5 2" xfId="1230"/>
    <cellStyle name="Total 6 6" xfId="321"/>
    <cellStyle name="Total 6 6 2" xfId="1231"/>
    <cellStyle name="Total 6 7" xfId="322"/>
    <cellStyle name="Total 6 7 2" xfId="1232"/>
    <cellStyle name="Total 6 8" xfId="323"/>
    <cellStyle name="Total 6 8 2" xfId="1233"/>
    <cellStyle name="Total 6 9" xfId="1234"/>
    <cellStyle name="Total 6 9 2" xfId="1235"/>
    <cellStyle name="Total 7" xfId="169"/>
    <cellStyle name="Total 7 10" xfId="1236"/>
    <cellStyle name="Total 7 11" xfId="1237"/>
    <cellStyle name="Total 7 12" xfId="1238"/>
    <cellStyle name="Total 7 2" xfId="170"/>
    <cellStyle name="Total 7 2 2" xfId="1239"/>
    <cellStyle name="Total 7 2 3" xfId="1240"/>
    <cellStyle name="Total 7 2 4" xfId="1241"/>
    <cellStyle name="Total 7 3" xfId="171"/>
    <cellStyle name="Total 7 3 2" xfId="1242"/>
    <cellStyle name="Total 7 3 3" xfId="1243"/>
    <cellStyle name="Total 7 3 4" xfId="1244"/>
    <cellStyle name="Total 7 4" xfId="172"/>
    <cellStyle name="Total 7 4 2" xfId="1245"/>
    <cellStyle name="Total 7 4 3" xfId="1246"/>
    <cellStyle name="Total 7 4 4" xfId="1247"/>
    <cellStyle name="Total 7 5" xfId="324"/>
    <cellStyle name="Total 7 5 2" xfId="1248"/>
    <cellStyle name="Total 7 6" xfId="325"/>
    <cellStyle name="Total 7 6 2" xfId="1249"/>
    <cellStyle name="Total 7 7" xfId="326"/>
    <cellStyle name="Total 7 7 2" xfId="1250"/>
    <cellStyle name="Total 7 8" xfId="327"/>
    <cellStyle name="Total 7 8 2" xfId="1251"/>
    <cellStyle name="Total 7 9" xfId="1252"/>
    <cellStyle name="Total 7 9 2" xfId="1253"/>
    <cellStyle name="Total 8" xfId="328"/>
    <cellStyle name="Total 8 10" xfId="1254"/>
    <cellStyle name="Total 8 11" xfId="1255"/>
    <cellStyle name="Total 8 12" xfId="1256"/>
    <cellStyle name="Total 8 2" xfId="329"/>
    <cellStyle name="Total 8 2 2" xfId="1257"/>
    <cellStyle name="Total 8 2 3" xfId="1258"/>
    <cellStyle name="Total 8 2 4" xfId="1259"/>
    <cellStyle name="Total 8 3" xfId="330"/>
    <cellStyle name="Total 8 3 2" xfId="1260"/>
    <cellStyle name="Total 8 3 3" xfId="1261"/>
    <cellStyle name="Total 8 3 4" xfId="1262"/>
    <cellStyle name="Total 8 4" xfId="331"/>
    <cellStyle name="Total 8 4 2" xfId="1263"/>
    <cellStyle name="Total 8 4 3" xfId="1264"/>
    <cellStyle name="Total 8 4 4" xfId="1265"/>
    <cellStyle name="Total 8 5" xfId="332"/>
    <cellStyle name="Total 8 5 2" xfId="1266"/>
    <cellStyle name="Total 8 6" xfId="333"/>
    <cellStyle name="Total 8 6 2" xfId="1267"/>
    <cellStyle name="Total 8 7" xfId="334"/>
    <cellStyle name="Total 8 7 2" xfId="1268"/>
    <cellStyle name="Total 8 8" xfId="335"/>
    <cellStyle name="Total 8 8 2" xfId="1269"/>
    <cellStyle name="Total 8 9" xfId="1270"/>
    <cellStyle name="Total 8 9 2" xfId="1271"/>
    <cellStyle name="Total 9" xfId="1272"/>
    <cellStyle name="Total 9 2" xfId="1273"/>
    <cellStyle name="Total 9 2 2" xfId="1274"/>
    <cellStyle name="Total 9 2 3" xfId="1275"/>
    <cellStyle name="Total 9 3" xfId="1276"/>
    <cellStyle name="Total 9 3 2" xfId="1277"/>
    <cellStyle name="Total 9 4" xfId="1278"/>
    <cellStyle name="Total 9 4 2" xfId="1279"/>
    <cellStyle name="Total 9 5" xfId="1280"/>
    <cellStyle name="Total 9 6" xfId="1281"/>
    <cellStyle name="Vérification 2" xfId="1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fr-FR" sz="1050"/>
              <a:t>Composition moyenne des OMR</a:t>
            </a:r>
          </a:p>
          <a:p>
            <a:pPr>
              <a:defRPr sz="1050"/>
            </a:pPr>
            <a:r>
              <a:rPr lang="fr-FR" sz="1050" i="1"/>
              <a:t>automne</a:t>
            </a:r>
            <a:r>
              <a:rPr lang="fr-FR" sz="1050" i="1" baseline="0"/>
              <a:t> </a:t>
            </a:r>
            <a:r>
              <a:rPr lang="fr-FR" sz="1050" i="1"/>
              <a:t>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PB'!$X$96</c:f>
              <c:strCache>
                <c:ptCount val="1"/>
                <c:pt idx="0">
                  <c:v>Syctom A15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'Synthèse PB'!$P$75:$P$87</c:f>
                <c:numCache>
                  <c:formatCode>General</c:formatCode>
                  <c:ptCount val="13"/>
                  <c:pt idx="0">
                    <c:v>0.13485756181113842</c:v>
                  </c:pt>
                  <c:pt idx="1">
                    <c:v>4.1264138101023418E-2</c:v>
                  </c:pt>
                  <c:pt idx="2">
                    <c:v>4.2789159659260195E-2</c:v>
                  </c:pt>
                  <c:pt idx="3">
                    <c:v>3.3445294174989967E-2</c:v>
                  </c:pt>
                  <c:pt idx="4">
                    <c:v>1.7652579824855054E-2</c:v>
                  </c:pt>
                  <c:pt idx="5">
                    <c:v>6.6533089531518208E-2</c:v>
                  </c:pt>
                  <c:pt idx="6">
                    <c:v>0.15554778233667746</c:v>
                  </c:pt>
                  <c:pt idx="7">
                    <c:v>1.6159001864178776E-2</c:v>
                  </c:pt>
                  <c:pt idx="8">
                    <c:v>8.8183108466812862E-2</c:v>
                  </c:pt>
                  <c:pt idx="9">
                    <c:v>1.9001123583545589E-2</c:v>
                  </c:pt>
                  <c:pt idx="10">
                    <c:v>3.8794558239046581E-2</c:v>
                  </c:pt>
                  <c:pt idx="11">
                    <c:v>2.7378091580946506E-2</c:v>
                  </c:pt>
                  <c:pt idx="12">
                    <c:v>1.4767302747257419E-2</c:v>
                  </c:pt>
                </c:numCache>
              </c:numRef>
            </c:plus>
            <c:minus>
              <c:numRef>
                <c:f>'Synthèse PB'!$O$75:$O$87</c:f>
                <c:numCache>
                  <c:formatCode>General</c:formatCode>
                  <c:ptCount val="13"/>
                  <c:pt idx="0">
                    <c:v>0.12927516167501527</c:v>
                  </c:pt>
                  <c:pt idx="1">
                    <c:v>5.7551624898518165E-2</c:v>
                  </c:pt>
                  <c:pt idx="2">
                    <c:v>4.2210281541385911E-2</c:v>
                  </c:pt>
                  <c:pt idx="3">
                    <c:v>1.9340225431743761E-2</c:v>
                  </c:pt>
                  <c:pt idx="4">
                    <c:v>2.8433561569379442E-2</c:v>
                  </c:pt>
                  <c:pt idx="5">
                    <c:v>5.8423016362493821E-2</c:v>
                  </c:pt>
                  <c:pt idx="6">
                    <c:v>6.78140676352742E-2</c:v>
                  </c:pt>
                  <c:pt idx="7">
                    <c:v>1.6851907594737564E-2</c:v>
                  </c:pt>
                  <c:pt idx="8">
                    <c:v>4.3097578346040402E-2</c:v>
                  </c:pt>
                  <c:pt idx="9">
                    <c:v>2.9077386249160342E-2</c:v>
                  </c:pt>
                  <c:pt idx="10">
                    <c:v>1.4088906187185198E-2</c:v>
                  </c:pt>
                  <c:pt idx="11">
                    <c:v>1.2505991328170804E-2</c:v>
                  </c:pt>
                  <c:pt idx="12">
                    <c:v>1.3866727055950934E-2</c:v>
                  </c:pt>
                </c:numCache>
              </c:numRef>
            </c:minus>
            <c:spPr>
              <a:ln w="15875">
                <a:solidFill>
                  <a:srgbClr val="FF0000"/>
                </a:solidFill>
              </a:ln>
            </c:spPr>
          </c:errBars>
          <c:cat>
            <c:strRef>
              <c:f>'[9]Synthèse PB'!$B$68:$B$80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PB'!$E$75:$E$87</c:f>
              <c:numCache>
                <c:formatCode>0.0%</c:formatCode>
                <c:ptCount val="13"/>
                <c:pt idx="0">
                  <c:v>0.21456000508425935</c:v>
                </c:pt>
                <c:pt idx="1">
                  <c:v>0.10860476004628808</c:v>
                </c:pt>
                <c:pt idx="2">
                  <c:v>8.346986078425625E-2</c:v>
                </c:pt>
                <c:pt idx="3">
                  <c:v>2.8404549739148178E-2</c:v>
                </c:pt>
                <c:pt idx="4">
                  <c:v>3.1125355649822516E-2</c:v>
                </c:pt>
                <c:pt idx="5">
                  <c:v>0.1189509855438442</c:v>
                </c:pt>
                <c:pt idx="6">
                  <c:v>0.20397397602513687</c:v>
                </c:pt>
                <c:pt idx="7">
                  <c:v>2.4321182455023953E-2</c:v>
                </c:pt>
                <c:pt idx="8">
                  <c:v>7.4389990773620615E-2</c:v>
                </c:pt>
                <c:pt idx="9">
                  <c:v>3.2921285848807214E-2</c:v>
                </c:pt>
                <c:pt idx="10">
                  <c:v>1.4088906187185198E-2</c:v>
                </c:pt>
                <c:pt idx="11">
                  <c:v>1.2939299999406325E-2</c:v>
                </c:pt>
                <c:pt idx="12">
                  <c:v>5.2249841863201293E-2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E-4D34-B00C-C67F409B4677}"/>
            </c:ext>
          </c:extLst>
        </c:ser>
        <c:ser>
          <c:idx val="2"/>
          <c:order val="1"/>
          <c:tx>
            <c:strRef>
              <c:f>'Synthèse PB'!$D$73:$D$74</c:f>
              <c:strCache>
                <c:ptCount val="2"/>
                <c:pt idx="0">
                  <c:v>SYCTOM 2014</c:v>
                </c:pt>
              </c:strCache>
            </c:strRef>
          </c:tx>
          <c:invertIfNegative val="0"/>
          <c:val>
            <c:numRef>
              <c:f>'Synthèse PB'!$D$75:$D$87</c:f>
              <c:numCache>
                <c:formatCode>0.0%</c:formatCode>
                <c:ptCount val="13"/>
                <c:pt idx="0">
                  <c:v>0.22611376396934094</c:v>
                </c:pt>
                <c:pt idx="1">
                  <c:v>0.12621046204246816</c:v>
                </c:pt>
                <c:pt idx="2">
                  <c:v>9.870587327859015E-2</c:v>
                </c:pt>
                <c:pt idx="3">
                  <c:v>2.2590783766282978E-2</c:v>
                </c:pt>
                <c:pt idx="4">
                  <c:v>2.8504511241045284E-2</c:v>
                </c:pt>
                <c:pt idx="5">
                  <c:v>9.1187119019428636E-2</c:v>
                </c:pt>
                <c:pt idx="6">
                  <c:v>0.18350233790553844</c:v>
                </c:pt>
                <c:pt idx="7">
                  <c:v>3.5013714023170849E-2</c:v>
                </c:pt>
                <c:pt idx="8">
                  <c:v>6.5246665055814695E-2</c:v>
                </c:pt>
                <c:pt idx="9">
                  <c:v>4.0337855118482362E-2</c:v>
                </c:pt>
                <c:pt idx="10">
                  <c:v>1.6677595960460041E-2</c:v>
                </c:pt>
                <c:pt idx="11">
                  <c:v>8.6654674950381386E-3</c:v>
                </c:pt>
                <c:pt idx="12">
                  <c:v>5.7233624762730154E-2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E-4D34-B00C-C67F409B4677}"/>
            </c:ext>
          </c:extLst>
        </c:ser>
        <c:ser>
          <c:idx val="1"/>
          <c:order val="2"/>
          <c:tx>
            <c:strRef>
              <c:f>'Synthèse PB'!$C$73:$C$74</c:f>
              <c:strCache>
                <c:ptCount val="2"/>
                <c:pt idx="0">
                  <c:v>MODECOM 2007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'Synthèse PB'!$C$75:$C$87</c:f>
              <c:numCache>
                <c:formatCode>0.0%</c:formatCode>
                <c:ptCount val="13"/>
                <c:pt idx="0">
                  <c:v>0.30930000000000002</c:v>
                </c:pt>
                <c:pt idx="1">
                  <c:v>0.1033</c:v>
                </c:pt>
                <c:pt idx="2">
                  <c:v>5.6899999999999999E-2</c:v>
                </c:pt>
                <c:pt idx="3">
                  <c:v>1.6899999999999998E-2</c:v>
                </c:pt>
                <c:pt idx="4">
                  <c:v>2.3199999999999998E-2</c:v>
                </c:pt>
                <c:pt idx="5">
                  <c:v>0.105</c:v>
                </c:pt>
                <c:pt idx="6">
                  <c:v>0.1143</c:v>
                </c:pt>
                <c:pt idx="7">
                  <c:v>2.4400000000000002E-2</c:v>
                </c:pt>
                <c:pt idx="8">
                  <c:v>5.7500000000000002E-2</c:v>
                </c:pt>
                <c:pt idx="9">
                  <c:v>2.87E-2</c:v>
                </c:pt>
                <c:pt idx="10">
                  <c:v>2.5700000000000001E-2</c:v>
                </c:pt>
                <c:pt idx="11">
                  <c:v>8.0999999999999996E-3</c:v>
                </c:pt>
                <c:pt idx="12">
                  <c:v>0.12670000000000001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4E-4D34-B00C-C67F409B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768832"/>
        <c:axId val="123770368"/>
      </c:barChart>
      <c:catAx>
        <c:axId val="12376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23770368"/>
        <c:crosses val="autoZero"/>
        <c:auto val="1"/>
        <c:lblAlgn val="ctr"/>
        <c:lblOffset val="100"/>
        <c:noMultiLvlLbl val="0"/>
      </c:catAx>
      <c:valAx>
        <c:axId val="123770368"/>
        <c:scaling>
          <c:orientation val="minMax"/>
          <c:max val="0.52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123768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fr-FR" sz="1000"/>
              <a:t>Composition des OMR en fonction de la provenance Banlieue/Paris</a:t>
            </a:r>
          </a:p>
          <a:p>
            <a:pPr>
              <a:defRPr sz="1000"/>
            </a:pPr>
            <a:r>
              <a:rPr lang="fr-FR" sz="1000" i="1"/>
              <a:t>automne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'Synthèse PB'!$D$89</c:f>
              <c:strCache>
                <c:ptCount val="1"/>
                <c:pt idx="0">
                  <c:v>Banlieue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PB'!$O$91:$O$103</c:f>
                <c:numCache>
                  <c:formatCode>General</c:formatCode>
                  <c:ptCount val="13"/>
                  <c:pt idx="0">
                    <c:v>0.14897749163015067</c:v>
                  </c:pt>
                  <c:pt idx="1">
                    <c:v>5.2357937534114662E-2</c:v>
                  </c:pt>
                  <c:pt idx="2">
                    <c:v>2.4796239655028557E-2</c:v>
                  </c:pt>
                  <c:pt idx="3">
                    <c:v>2.3242969513390416E-2</c:v>
                  </c:pt>
                  <c:pt idx="4">
                    <c:v>1.7776461511749511E-2</c:v>
                  </c:pt>
                  <c:pt idx="5">
                    <c:v>6.7055081298778435E-2</c:v>
                  </c:pt>
                  <c:pt idx="6">
                    <c:v>0.13778404430020103</c:v>
                  </c:pt>
                  <c:pt idx="7">
                    <c:v>1.0769449028548077E-2</c:v>
                  </c:pt>
                  <c:pt idx="8">
                    <c:v>3.0191258826766612E-2</c:v>
                  </c:pt>
                  <c:pt idx="9">
                    <c:v>1.1649408791687847E-2</c:v>
                  </c:pt>
                  <c:pt idx="10">
                    <c:v>7.4394656254186467E-3</c:v>
                  </c:pt>
                  <c:pt idx="11">
                    <c:v>2.0304611231789546E-2</c:v>
                  </c:pt>
                  <c:pt idx="12">
                    <c:v>1.0460536609394604E-2</c:v>
                  </c:pt>
                </c:numCache>
              </c:numRef>
            </c:plus>
            <c:minus>
              <c:numRef>
                <c:f>'Synthèse PB'!$N$91:$N$103</c:f>
                <c:numCache>
                  <c:formatCode>General</c:formatCode>
                  <c:ptCount val="13"/>
                  <c:pt idx="0">
                    <c:v>0.11515523185600302</c:v>
                  </c:pt>
                  <c:pt idx="1">
                    <c:v>4.645782546542692E-2</c:v>
                  </c:pt>
                  <c:pt idx="2">
                    <c:v>1.1218711365034495E-2</c:v>
                  </c:pt>
                  <c:pt idx="3">
                    <c:v>2.6130675322119358E-2</c:v>
                  </c:pt>
                  <c:pt idx="4">
                    <c:v>2.6944488784555055E-2</c:v>
                  </c:pt>
                  <c:pt idx="5">
                    <c:v>5.7901024595233594E-2</c:v>
                  </c:pt>
                  <c:pt idx="6">
                    <c:v>8.5577805671750634E-2</c:v>
                  </c:pt>
                  <c:pt idx="7">
                    <c:v>1.0987140154390123E-2</c:v>
                  </c:pt>
                  <c:pt idx="8">
                    <c:v>3.09751660500832E-2</c:v>
                  </c:pt>
                  <c:pt idx="9">
                    <c:v>2.2104355456332093E-2</c:v>
                  </c:pt>
                  <c:pt idx="10">
                    <c:v>3.1616666194973718E-3</c:v>
                  </c:pt>
                  <c:pt idx="11">
                    <c:v>1.0409452427913845E-2</c:v>
                  </c:pt>
                  <c:pt idx="12">
                    <c:v>1.0447770664905515E-2</c:v>
                  </c:pt>
                </c:numCache>
              </c:numRef>
            </c:minus>
            <c:spPr>
              <a:ln w="15875">
                <a:solidFill>
                  <a:srgbClr val="00B050"/>
                </a:solidFill>
              </a:ln>
            </c:spPr>
          </c:errBars>
          <c:cat>
            <c:strRef>
              <c:f>'[9]Synthèse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PB'!$D$91:$D$103</c:f>
              <c:numCache>
                <c:formatCode>0.0%</c:formatCode>
                <c:ptCount val="13"/>
                <c:pt idx="0">
                  <c:v>0.2004400752652471</c:v>
                </c:pt>
                <c:pt idx="1">
                  <c:v>9.7510960613196834E-2</c:v>
                </c:pt>
                <c:pt idx="2">
                  <c:v>0.10146278078848789</c:v>
                </c:pt>
                <c:pt idx="3">
                  <c:v>3.8606874400747726E-2</c:v>
                </c:pt>
                <c:pt idx="4">
                  <c:v>2.9636282864998129E-2</c:v>
                </c:pt>
                <c:pt idx="5">
                  <c:v>0.11842899377658397</c:v>
                </c:pt>
                <c:pt idx="6">
                  <c:v>0.2217377140616133</c:v>
                </c:pt>
                <c:pt idx="7">
                  <c:v>2.4665857527999099E-2</c:v>
                </c:pt>
                <c:pt idx="8">
                  <c:v>6.2267578477663413E-2</c:v>
                </c:pt>
                <c:pt idx="9">
                  <c:v>4.0273000640664955E-2</c:v>
                </c:pt>
                <c:pt idx="10">
                  <c:v>3.1616666194973718E-3</c:v>
                </c:pt>
                <c:pt idx="11">
                  <c:v>1.1224489806373583E-2</c:v>
                </c:pt>
                <c:pt idx="12">
                  <c:v>5.0583725156926655E-2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F-4ED3-9B48-53AD6CF58E3D}"/>
            </c:ext>
          </c:extLst>
        </c:ser>
        <c:ser>
          <c:idx val="1"/>
          <c:order val="1"/>
          <c:tx>
            <c:strRef>
              <c:f>'Synthèse PB'!$I$89</c:f>
              <c:strCache>
                <c:ptCount val="1"/>
                <c:pt idx="0">
                  <c:v>Paris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'Synthèse PB'!$Q$91:$Q$103</c:f>
                <c:numCache>
                  <c:formatCode>General</c:formatCode>
                  <c:ptCount val="13"/>
                  <c:pt idx="0">
                    <c:v>8.6787874430306888E-2</c:v>
                  </c:pt>
                  <c:pt idx="1">
                    <c:v>2.3166896264940423E-2</c:v>
                  </c:pt>
                  <c:pt idx="2">
                    <c:v>2.6608246670088403E-2</c:v>
                  </c:pt>
                  <c:pt idx="3">
                    <c:v>1.3025093052621249E-2</c:v>
                  </c:pt>
                  <c:pt idx="4">
                    <c:v>1.6163507040030667E-2</c:v>
                  </c:pt>
                  <c:pt idx="5">
                    <c:v>2.9030906144056956E-2</c:v>
                  </c:pt>
                  <c:pt idx="6">
                    <c:v>2.0446279705826548E-2</c:v>
                  </c:pt>
                  <c:pt idx="7">
                    <c:v>1.6503676937153919E-2</c:v>
                  </c:pt>
                  <c:pt idx="8">
                    <c:v>7.6060696170855688E-2</c:v>
                  </c:pt>
                  <c:pt idx="9">
                    <c:v>1.6446387917655146E-2</c:v>
                  </c:pt>
                  <c:pt idx="10">
                    <c:v>2.7867318671358755E-2</c:v>
                  </c:pt>
                  <c:pt idx="11">
                    <c:v>2.566328138791376E-2</c:v>
                  </c:pt>
                  <c:pt idx="12">
                    <c:v>1.3101186040982774E-2</c:v>
                  </c:pt>
                </c:numCache>
              </c:numRef>
            </c:plus>
            <c:minus>
              <c:numRef>
                <c:f>'Synthèse PB'!$P$91:$P$103</c:f>
                <c:numCache>
                  <c:formatCode>General</c:formatCode>
                  <c:ptCount val="13"/>
                  <c:pt idx="0">
                    <c:v>9.6805886509791994E-2</c:v>
                  </c:pt>
                  <c:pt idx="1">
                    <c:v>5.15090999000717E-2</c:v>
                  </c:pt>
                  <c:pt idx="2">
                    <c:v>2.42173615371543E-2</c:v>
                  </c:pt>
                  <c:pt idx="3">
                    <c:v>9.137900770144208E-3</c:v>
                  </c:pt>
                  <c:pt idx="4">
                    <c:v>9.7163180575680769E-3</c:v>
                  </c:pt>
                  <c:pt idx="5">
                    <c:v>2.9852929155628538E-2</c:v>
                  </c:pt>
                  <c:pt idx="6">
                    <c:v>4.3226255350482662E-2</c:v>
                  </c:pt>
                  <c:pt idx="7">
                    <c:v>1.6507232521762422E-2</c:v>
                  </c:pt>
                  <c:pt idx="8">
                    <c:v>4.0583692578731061E-2</c:v>
                  </c:pt>
                  <c:pt idx="9">
                    <c:v>2.1725671457302607E-2</c:v>
                  </c:pt>
                  <c:pt idx="10">
                    <c:v>2.5016145754873022E-2</c:v>
                  </c:pt>
                  <c:pt idx="11">
                    <c:v>1.4220801521203549E-2</c:v>
                  </c:pt>
                  <c:pt idx="12">
                    <c:v>1.5532843762225579E-2</c:v>
                  </c:pt>
                </c:numCache>
              </c:numRef>
            </c:minus>
            <c:spPr>
              <a:ln w="15875">
                <a:solidFill>
                  <a:srgbClr val="C00000"/>
                </a:solidFill>
              </a:ln>
            </c:spPr>
          </c:errBars>
          <c:cat>
            <c:strRef>
              <c:f>'[9]Synthèse PB'!$B$84:$B$96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'Synthèse PB'!$I$91:$I$103</c:f>
              <c:numCache>
                <c:formatCode>0.0%</c:formatCode>
                <c:ptCount val="13"/>
                <c:pt idx="0">
                  <c:v>0.2286799349032716</c:v>
                </c:pt>
                <c:pt idx="1">
                  <c:v>0.1196985594793793</c:v>
                </c:pt>
                <c:pt idx="2">
                  <c:v>6.5476940780024639E-2</c:v>
                </c:pt>
                <c:pt idx="3">
                  <c:v>1.8202225077548626E-2</c:v>
                </c:pt>
                <c:pt idx="4">
                  <c:v>3.2614428434646903E-2</c:v>
                </c:pt>
                <c:pt idx="5">
                  <c:v>0.11947297731110446</c:v>
                </c:pt>
                <c:pt idx="6">
                  <c:v>0.18621023798866043</c:v>
                </c:pt>
                <c:pt idx="7">
                  <c:v>2.397650738204881E-2</c:v>
                </c:pt>
                <c:pt idx="8">
                  <c:v>8.651240306957779E-2</c:v>
                </c:pt>
                <c:pt idx="9">
                  <c:v>2.5569571056949479E-2</c:v>
                </c:pt>
                <c:pt idx="10">
                  <c:v>2.5016145754873022E-2</c:v>
                </c:pt>
                <c:pt idx="11">
                  <c:v>1.465411019243907E-2</c:v>
                </c:pt>
                <c:pt idx="12">
                  <c:v>5.3915958569475939E-2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F-4ED3-9B48-53AD6CF5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796480"/>
        <c:axId val="114365184"/>
      </c:barChart>
      <c:catAx>
        <c:axId val="12379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14365184"/>
        <c:crosses val="autoZero"/>
        <c:auto val="1"/>
        <c:lblAlgn val="ctr"/>
        <c:lblOffset val="100"/>
        <c:noMultiLvlLbl val="0"/>
      </c:catAx>
      <c:valAx>
        <c:axId val="114365184"/>
        <c:scaling>
          <c:orientation val="minMax"/>
          <c:max val="0.5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/>
            </a:pPr>
            <a:endParaRPr lang="fr-FR"/>
          </a:p>
        </c:txPr>
        <c:crossAx val="123796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fr-FR" sz="1100"/>
              <a:t>Gisement potentiellement détournable vers le tri</a:t>
            </a:r>
            <a:r>
              <a:rPr lang="fr-FR" sz="1100" baseline="0"/>
              <a:t> dans les OMR du SYCTOM</a:t>
            </a:r>
          </a:p>
          <a:p>
            <a:pPr>
              <a:defRPr sz="1100"/>
            </a:pPr>
            <a:r>
              <a:rPr lang="fr-FR" sz="1100" i="1" baseline="0"/>
              <a:t>Automne 2015</a:t>
            </a:r>
            <a:endParaRPr lang="fr-FR" sz="1100" i="1"/>
          </a:p>
        </c:rich>
      </c:tx>
      <c:layout>
        <c:manualLayout>
          <c:xMode val="edge"/>
          <c:yMode val="edge"/>
          <c:x val="0.12265822784810126"/>
          <c:y val="1.84757505773672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622279809960482E-2"/>
          <c:y val="0.16270579813886901"/>
          <c:w val="0.82858666400877101"/>
          <c:h val="0.7653130414034216"/>
        </c:manualLayout>
      </c:layout>
      <c:ofPieChart>
        <c:ofPieType val="pie"/>
        <c:varyColors val="1"/>
        <c:ser>
          <c:idx val="0"/>
          <c:order val="0"/>
          <c:explosion val="8"/>
          <c:dPt>
            <c:idx val="6"/>
            <c:bubble3D val="0"/>
            <c:explosion val="0"/>
            <c:extLst>
              <c:ext xmlns:c16="http://schemas.microsoft.com/office/drawing/2014/chart" uri="{C3380CC4-5D6E-409C-BE32-E72D297353CC}">
                <c16:uniqueId val="{00000000-7E99-4472-B959-B60BEDB8FD3F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9-4472-B959-B60BEDB8FD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9-4472-B959-B60BEDB8FD3F}"/>
                </c:ext>
              </c:extLst>
            </c:dLbl>
            <c:dLbl>
              <c:idx val="3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9-4472-B959-B60BEDB8FD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'[10]Synthèse A11 PB'!$B$164:$B$169</c:f>
              <c:strCache>
                <c:ptCount val="6"/>
                <c:pt idx="0">
                  <c:v>OMR</c:v>
                </c:pt>
                <c:pt idx="2">
                  <c:v>Collecte sélective</c:v>
                </c:pt>
                <c:pt idx="3">
                  <c:v>Verre</c:v>
                </c:pt>
                <c:pt idx="4">
                  <c:v>Textiles</c:v>
                </c:pt>
                <c:pt idx="5">
                  <c:v>Déchets ménagers spéciaux</c:v>
                </c:pt>
              </c:strCache>
            </c:strRef>
          </c:cat>
          <c:val>
            <c:numRef>
              <c:f>'Synthèse PB'!$C$158:$C$163</c:f>
              <c:numCache>
                <c:formatCode>0.0%</c:formatCode>
                <c:ptCount val="6"/>
                <c:pt idx="0">
                  <c:v>0.63003918856073637</c:v>
                </c:pt>
                <c:pt idx="2">
                  <c:v>0.25960296333118815</c:v>
                </c:pt>
                <c:pt idx="3">
                  <c:v>6.6293192458846587E-2</c:v>
                </c:pt>
                <c:pt idx="4">
                  <c:v>3.1125355649822516E-2</c:v>
                </c:pt>
                <c:pt idx="5">
                  <c:v>1.2939299999406325E-2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99-4472-B959-B60BEDB8FD3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2"/>
          <c:secondPiePt val="3"/>
          <c:secondPiePt val="4"/>
          <c:secondPiePt val="5"/>
        </c:custSplit>
        <c:secondPieSize val="140"/>
        <c:serLines/>
      </c:ofPieChart>
    </c:plotArea>
    <c:plotVisOnly val="1"/>
    <c:dispBlanksAs val="zero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/>
  </c:printSettings>
</c:chartSpace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3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5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6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6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7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8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49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0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16</xdr:row>
      <xdr:rowOff>0</xdr:rowOff>
    </xdr:from>
    <xdr:to>
      <xdr:col>0</xdr:col>
      <xdr:colOff>762000</xdr:colOff>
      <xdr:row>16</xdr:row>
      <xdr:rowOff>200025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228599</xdr:colOff>
      <xdr:row>71</xdr:row>
      <xdr:rowOff>19050</xdr:rowOff>
    </xdr:from>
    <xdr:to>
      <xdr:col>30</xdr:col>
      <xdr:colOff>619124</xdr:colOff>
      <xdr:row>91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295274</xdr:colOff>
      <xdr:row>103</xdr:row>
      <xdr:rowOff>85724</xdr:rowOff>
    </xdr:from>
    <xdr:to>
      <xdr:col>23</xdr:col>
      <xdr:colOff>190499</xdr:colOff>
      <xdr:row>124</xdr:row>
      <xdr:rowOff>209550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495298</xdr:colOff>
      <xdr:row>147</xdr:row>
      <xdr:rowOff>38100</xdr:rowOff>
    </xdr:from>
    <xdr:to>
      <xdr:col>18</xdr:col>
      <xdr:colOff>266699</xdr:colOff>
      <xdr:row>163</xdr:row>
      <xdr:rowOff>161925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3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2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8" name="Text Box 17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49" name="Text Box 18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676275</xdr:colOff>
      <xdr:row>205</xdr:row>
      <xdr:rowOff>0</xdr:rowOff>
    </xdr:from>
    <xdr:to>
      <xdr:col>8</xdr:col>
      <xdr:colOff>762000</xdr:colOff>
      <xdr:row>205</xdr:row>
      <xdr:rowOff>200025</xdr:rowOff>
    </xdr:to>
    <xdr:sp macro="" textlink="">
      <xdr:nvSpPr>
        <xdr:cNvPr id="51" name="Text Box 13"/>
        <xdr:cNvSpPr txBox="1">
          <a:spLocks noChangeArrowheads="1"/>
        </xdr:cNvSpPr>
      </xdr:nvSpPr>
      <xdr:spPr bwMode="auto">
        <a:xfrm>
          <a:off x="8601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0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4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6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7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69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8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1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2" name="Text Box 14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4" name="Text Box 17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5" name="Text Box 18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676275</xdr:colOff>
      <xdr:row>205</xdr:row>
      <xdr:rowOff>0</xdr:rowOff>
    </xdr:from>
    <xdr:to>
      <xdr:col>10</xdr:col>
      <xdr:colOff>762000</xdr:colOff>
      <xdr:row>205</xdr:row>
      <xdr:rowOff>200025</xdr:rowOff>
    </xdr:to>
    <xdr:sp macro="" textlink="">
      <xdr:nvSpPr>
        <xdr:cNvPr id="87" name="Text Box 13"/>
        <xdr:cNvSpPr txBox="1">
          <a:spLocks noChangeArrowheads="1"/>
        </xdr:cNvSpPr>
      </xdr:nvSpPr>
      <xdr:spPr bwMode="auto">
        <a:xfrm>
          <a:off x="10125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8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6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99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0" name="Text Box 14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2" name="Text Box 17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676275</xdr:colOff>
      <xdr:row>205</xdr:row>
      <xdr:rowOff>0</xdr:rowOff>
    </xdr:from>
    <xdr:to>
      <xdr:col>12</xdr:col>
      <xdr:colOff>762000</xdr:colOff>
      <xdr:row>205</xdr:row>
      <xdr:rowOff>200025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11649075" y="37861875"/>
          <a:ext cx="85725" cy="1905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8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0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6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1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2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4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7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29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0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2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3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8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0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3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4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6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49" name="Text Box 19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1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4" name="Text Box 17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5" name="Text Box 18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676275</xdr:colOff>
      <xdr:row>4</xdr:row>
      <xdr:rowOff>0</xdr:rowOff>
    </xdr:from>
    <xdr:to>
      <xdr:col>0</xdr:col>
      <xdr:colOff>762000</xdr:colOff>
      <xdr:row>4</xdr:row>
      <xdr:rowOff>200025</xdr:rowOff>
    </xdr:to>
    <xdr:sp macro="" textlink="">
      <xdr:nvSpPr>
        <xdr:cNvPr id="157" name="Text Box 13"/>
        <xdr:cNvSpPr txBox="1">
          <a:spLocks noChangeArrowheads="1"/>
        </xdr:cNvSpPr>
      </xdr:nvSpPr>
      <xdr:spPr bwMode="auto">
        <a:xfrm>
          <a:off x="676275" y="3009900"/>
          <a:ext cx="8572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SS_A15_PB_B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CLIENTS/SYCTOM/Campagne%20A11/Feuilles%20de%20tri/Synth&#232;se%20r&#233;sultats%20prestation%20B%20et%20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SS_A15_PC_B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SS_A15_PC_PA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VR_A15_PC_B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VR_A15_PC_PA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ROM_A15_PC_B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ROM_A15_PC_P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STO_A15_PC_B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STO_A15_PC_P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SS_A14_PB_B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SS_A15_PB_P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VR_A15_PB_B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IVR_A15_PB_P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ROM_A15_PB_B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ROM_A15_PB_P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STO_A15_PB_B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8-Exploitation/01-Caract&#233;risations/OM/Campagne%20SYCTOM%202011-2015%20VERDICITE/20%20campagne%20automne%202015/STO_A15_PB_PA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CLIENTS/SYCTOM/campagne%20hiver%202012/feuille%20de%20%20tri/synth&#232;se%20H12%20PB%20-%20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ISS-A15-PB-BAN</v>
          </cell>
        </row>
        <row r="6">
          <cell r="D6" t="str">
            <v>CK 947 YE - BOULOGNE</v>
          </cell>
        </row>
        <row r="8">
          <cell r="D8" t="str">
            <v>ISSEANE</v>
          </cell>
        </row>
        <row r="12">
          <cell r="B12">
            <v>42271</v>
          </cell>
          <cell r="E12" t="str">
            <v>20H10</v>
          </cell>
        </row>
        <row r="15">
          <cell r="E15" t="str">
            <v>pluvieux</v>
          </cell>
        </row>
        <row r="19">
          <cell r="G19">
            <v>120.5</v>
          </cell>
        </row>
        <row r="26">
          <cell r="H26">
            <v>0.53</v>
          </cell>
        </row>
        <row r="51">
          <cell r="D51">
            <v>0.36448132780082987</v>
          </cell>
        </row>
      </sheetData>
      <sheetData sheetId="1" refreshError="1"/>
      <sheetData sheetId="2">
        <row r="27">
          <cell r="C27">
            <v>2.4800000000000004</v>
          </cell>
          <cell r="D27">
            <v>3.9800000000000004</v>
          </cell>
        </row>
      </sheetData>
      <sheetData sheetId="3">
        <row r="5">
          <cell r="E5">
            <v>0</v>
          </cell>
          <cell r="H5">
            <v>0.35000000000000009</v>
          </cell>
          <cell r="K5">
            <v>2.402857142857143</v>
          </cell>
        </row>
        <row r="6">
          <cell r="E6">
            <v>0</v>
          </cell>
          <cell r="H6">
            <v>0.60999999999999988</v>
          </cell>
          <cell r="K6">
            <v>0.41428571428571465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3.0000000000000027E-2</v>
          </cell>
          <cell r="K8">
            <v>4.1428571428572383E-2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0.21000000000000019</v>
          </cell>
          <cell r="K10">
            <v>0.41428571428571465</v>
          </cell>
        </row>
        <row r="11">
          <cell r="E11">
            <v>0</v>
          </cell>
          <cell r="H11">
            <v>1.9100000000000001</v>
          </cell>
          <cell r="K11">
            <v>0</v>
          </cell>
        </row>
        <row r="12">
          <cell r="E12">
            <v>0</v>
          </cell>
          <cell r="H12">
            <v>0.64999999999999991</v>
          </cell>
          <cell r="K12">
            <v>0.41428571428571465</v>
          </cell>
        </row>
        <row r="13">
          <cell r="E13">
            <v>0</v>
          </cell>
          <cell r="H13">
            <v>5.2099999999999991</v>
          </cell>
          <cell r="K13">
            <v>1.7400000000000015</v>
          </cell>
        </row>
        <row r="14">
          <cell r="E14">
            <v>0</v>
          </cell>
          <cell r="H14">
            <v>0.79</v>
          </cell>
          <cell r="K14">
            <v>0.74571428571428633</v>
          </cell>
        </row>
        <row r="15">
          <cell r="E15">
            <v>0</v>
          </cell>
          <cell r="H15">
            <v>1.21</v>
          </cell>
          <cell r="K15">
            <v>3.2314285714285722</v>
          </cell>
        </row>
        <row r="16">
          <cell r="E16">
            <v>0</v>
          </cell>
          <cell r="H16">
            <v>1.4300000000000002</v>
          </cell>
          <cell r="K16">
            <v>0.41428571428571465</v>
          </cell>
        </row>
        <row r="17">
          <cell r="E17">
            <v>0</v>
          </cell>
          <cell r="H17">
            <v>0.41000000000000014</v>
          </cell>
          <cell r="K17">
            <v>0.5800000000000004</v>
          </cell>
        </row>
        <row r="18">
          <cell r="E18">
            <v>0</v>
          </cell>
          <cell r="H18">
            <v>7.0000000000000062E-2</v>
          </cell>
          <cell r="K18">
            <v>0.24857142857142878</v>
          </cell>
        </row>
        <row r="19">
          <cell r="E19">
            <v>0</v>
          </cell>
          <cell r="H19">
            <v>0.27</v>
          </cell>
          <cell r="K19">
            <v>3.0657142857142863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0.8</v>
          </cell>
          <cell r="H22">
            <v>0.4700000000000002</v>
          </cell>
          <cell r="K22">
            <v>0.5800000000000004</v>
          </cell>
        </row>
        <row r="23">
          <cell r="E23">
            <v>0</v>
          </cell>
          <cell r="H23">
            <v>0.31000000000000005</v>
          </cell>
          <cell r="K23">
            <v>8.7000000000000011</v>
          </cell>
        </row>
        <row r="24">
          <cell r="E24">
            <v>0</v>
          </cell>
          <cell r="H24">
            <v>0.99000000000000021</v>
          </cell>
          <cell r="K24">
            <v>4.5571428571428596</v>
          </cell>
        </row>
        <row r="25">
          <cell r="E25">
            <v>0</v>
          </cell>
          <cell r="H25">
            <v>4.59</v>
          </cell>
          <cell r="K25">
            <v>1.0771428571428581</v>
          </cell>
        </row>
        <row r="26">
          <cell r="E26">
            <v>0</v>
          </cell>
          <cell r="H26">
            <v>1.2400000000000002</v>
          </cell>
          <cell r="K26">
            <v>1.7400000000000015</v>
          </cell>
        </row>
        <row r="27">
          <cell r="E27">
            <v>0</v>
          </cell>
          <cell r="H27">
            <v>0.17000000000000015</v>
          </cell>
          <cell r="K27">
            <v>0.24857142857142878</v>
          </cell>
        </row>
        <row r="28">
          <cell r="E28">
            <v>0</v>
          </cell>
          <cell r="H28">
            <v>1.4699999999999998</v>
          </cell>
          <cell r="K28">
            <v>2.7342857142857149</v>
          </cell>
        </row>
        <row r="29">
          <cell r="E29">
            <v>0</v>
          </cell>
          <cell r="H29">
            <v>0.57000000000000028</v>
          </cell>
          <cell r="K29">
            <v>0.24857142857142878</v>
          </cell>
        </row>
        <row r="30">
          <cell r="E30">
            <v>0</v>
          </cell>
          <cell r="H30">
            <v>0.71</v>
          </cell>
          <cell r="K30">
            <v>1.0771428571428581</v>
          </cell>
        </row>
        <row r="31">
          <cell r="E31">
            <v>0</v>
          </cell>
          <cell r="H31">
            <v>2.77</v>
          </cell>
          <cell r="K31">
            <v>1.242857142857144</v>
          </cell>
        </row>
        <row r="32">
          <cell r="E32">
            <v>0</v>
          </cell>
          <cell r="H32">
            <v>1.0000000000000009E-2</v>
          </cell>
          <cell r="K32">
            <v>8.2857142857142935E-2</v>
          </cell>
        </row>
        <row r="33">
          <cell r="E33">
            <v>0</v>
          </cell>
          <cell r="H33">
            <v>0.27</v>
          </cell>
          <cell r="K33">
            <v>0.5800000000000004</v>
          </cell>
        </row>
        <row r="34">
          <cell r="E34">
            <v>0</v>
          </cell>
          <cell r="H34">
            <v>5.0000000000000044E-2</v>
          </cell>
          <cell r="K34">
            <v>0.24857142857142878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0.19000000000000017</v>
          </cell>
          <cell r="K37">
            <v>8.2857142857142935E-2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0.17000000000000015</v>
          </cell>
          <cell r="K39">
            <v>0.5800000000000004</v>
          </cell>
        </row>
        <row r="40">
          <cell r="E40">
            <v>0</v>
          </cell>
          <cell r="H40">
            <v>0.26</v>
          </cell>
          <cell r="K40">
            <v>1.6571428571428568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8.0000000000000071E-2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0.49714285714285755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0.10000000000000009</v>
          </cell>
          <cell r="K50">
            <v>0.66285714285714348</v>
          </cell>
        </row>
      </sheetData>
      <sheetData sheetId="4" refreshError="1"/>
      <sheetData sheetId="5">
        <row r="8">
          <cell r="N8">
            <v>11.653734776138812</v>
          </cell>
        </row>
        <row r="9">
          <cell r="N9">
            <v>14.986889814731152</v>
          </cell>
        </row>
        <row r="10">
          <cell r="N10">
            <v>9.0244069423453386</v>
          </cell>
        </row>
        <row r="11">
          <cell r="N11">
            <v>5.7051746368734264</v>
          </cell>
        </row>
        <row r="12">
          <cell r="N12">
            <v>2.2927546772241114</v>
          </cell>
        </row>
        <row r="13">
          <cell r="N13">
            <v>18.54840750753624</v>
          </cell>
        </row>
        <row r="14">
          <cell r="N14">
            <v>19.699303275552328</v>
          </cell>
        </row>
        <row r="15">
          <cell r="N15">
            <v>2.26182743079106</v>
          </cell>
        </row>
        <row r="16">
          <cell r="N16">
            <v>5.0826126164639502</v>
          </cell>
        </row>
        <row r="17">
          <cell r="N17">
            <v>1.8168645184332863</v>
          </cell>
        </row>
        <row r="18">
          <cell r="N18">
            <v>1.0601132244916018</v>
          </cell>
        </row>
        <row r="19">
          <cell r="N19">
            <v>3.1529101038163132</v>
          </cell>
        </row>
        <row r="20">
          <cell r="N20">
            <v>4.7150004756023804</v>
          </cell>
        </row>
        <row r="32">
          <cell r="N32">
            <v>0.7910393371110126</v>
          </cell>
        </row>
        <row r="33">
          <cell r="N33">
            <v>2.3418443262360453</v>
          </cell>
        </row>
        <row r="34">
          <cell r="N34">
            <v>1.3049169955466373</v>
          </cell>
        </row>
        <row r="35">
          <cell r="N35">
            <v>8.6069905048907582</v>
          </cell>
        </row>
        <row r="36">
          <cell r="N36">
            <v>1.942098650946698</v>
          </cell>
        </row>
        <row r="37">
          <cell r="N37">
            <v>5.4923064441224874</v>
          </cell>
        </row>
        <row r="38">
          <cell r="N38">
            <v>2.2819292419436024</v>
          </cell>
        </row>
        <row r="39">
          <cell r="N39">
            <v>1.2501712562792491</v>
          </cell>
        </row>
        <row r="43">
          <cell r="N43">
            <v>2.2927546772241114</v>
          </cell>
        </row>
        <row r="44">
          <cell r="N44">
            <v>11.5205126711917</v>
          </cell>
        </row>
        <row r="45">
          <cell r="N45">
            <v>7.0278948363445393</v>
          </cell>
        </row>
        <row r="46">
          <cell r="N46">
            <v>8.1328198495783681</v>
          </cell>
        </row>
        <row r="47">
          <cell r="N47">
            <v>3.8237064623265011</v>
          </cell>
        </row>
        <row r="48">
          <cell r="N48">
            <v>0.53701875192786108</v>
          </cell>
        </row>
        <row r="49">
          <cell r="N49">
            <v>6.0313705257015435</v>
          </cell>
        </row>
        <row r="50">
          <cell r="N50">
            <v>1.1743876860180555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A11 PB BAN"/>
      <sheetName val="ISS A11 PB PAR"/>
      <sheetName val="IVR A11 PB BAN"/>
      <sheetName val="IVR A11 PB PAR"/>
      <sheetName val="ROM A11 PB BAN"/>
      <sheetName val="ROM A11 PB PAR"/>
      <sheetName val="STO A11 PB BAN"/>
      <sheetName val="STO A11 PB PAR"/>
      <sheetName val="Synthèse A11 PB"/>
      <sheetName val="ISS A11 PC BAN"/>
      <sheetName val="ISS A11 PC PAR"/>
      <sheetName val="IVR A11 PC BAN"/>
      <sheetName val="IVR A1 PC PAR"/>
      <sheetName val="ROM A11 PC BAN"/>
      <sheetName val="ROM A11 PC PAR"/>
      <sheetName val="STO A11 PC BAN"/>
      <sheetName val="STO A11 PC PAR"/>
      <sheetName val="Synthèse A11 PC"/>
      <sheetName val="Analyses par catégories"/>
      <sheetName val="SYCTOM déchets organiques"/>
      <sheetName val="Déchets ini. recons."/>
      <sheetName val="Syctom CSR"/>
      <sheetName val="Fraction 8mm-20mm"/>
      <sheetName val="Granulo P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4">
          <cell r="B164" t="str">
            <v>OMR</v>
          </cell>
        </row>
        <row r="166">
          <cell r="B166" t="str">
            <v>Collecte sélective</v>
          </cell>
        </row>
        <row r="167">
          <cell r="B167" t="str">
            <v>Verre</v>
          </cell>
        </row>
        <row r="168">
          <cell r="B168" t="str">
            <v>Textiles</v>
          </cell>
        </row>
        <row r="169">
          <cell r="B169" t="str">
            <v>Déchets ménagers spéciaux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ISS-A15-PC-BAN</v>
          </cell>
        </row>
        <row r="6">
          <cell r="D6" t="str">
            <v>CK 947 YE - BOULOGNE</v>
          </cell>
        </row>
        <row r="8">
          <cell r="D8" t="str">
            <v>ISSEANE</v>
          </cell>
        </row>
        <row r="12">
          <cell r="B12">
            <v>42271</v>
          </cell>
          <cell r="E12" t="str">
            <v>20H10</v>
          </cell>
        </row>
        <row r="15">
          <cell r="E15" t="str">
            <v>pluvieux</v>
          </cell>
        </row>
        <row r="19">
          <cell r="G19">
            <v>124.3</v>
          </cell>
        </row>
        <row r="26">
          <cell r="H26">
            <v>0.5</v>
          </cell>
        </row>
        <row r="51">
          <cell r="D51">
            <v>0.36251005631536609</v>
          </cell>
        </row>
      </sheetData>
      <sheetData sheetId="1"/>
      <sheetData sheetId="2">
        <row r="27">
          <cell r="C27">
            <v>4.2</v>
          </cell>
          <cell r="D27">
            <v>3.8600000000000003</v>
          </cell>
        </row>
      </sheetData>
      <sheetData sheetId="3">
        <row r="5">
          <cell r="E5">
            <v>2.7199999999999998</v>
          </cell>
          <cell r="H5">
            <v>21.879999999999995</v>
          </cell>
          <cell r="K5">
            <v>32.965171102661593</v>
          </cell>
        </row>
        <row r="6">
          <cell r="E6">
            <v>0</v>
          </cell>
          <cell r="H6">
            <v>4</v>
          </cell>
          <cell r="K6">
            <v>8.649277566539924</v>
          </cell>
        </row>
        <row r="7">
          <cell r="E7">
            <v>0</v>
          </cell>
          <cell r="H7">
            <v>0.24000000000000021</v>
          </cell>
          <cell r="K7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Calcul sous cat &gt;20"/>
      <sheetName val="F5_synthèse  (2)"/>
    </sheetNames>
    <sheetDataSet>
      <sheetData sheetId="0">
        <row r="5">
          <cell r="D5" t="str">
            <v>ISS-A15-PB-PAR</v>
          </cell>
        </row>
        <row r="6">
          <cell r="D6" t="str">
            <v>AK 406 QT - 7E ARRDT</v>
          </cell>
        </row>
        <row r="8">
          <cell r="D8" t="str">
            <v>ISSEANE</v>
          </cell>
        </row>
        <row r="12">
          <cell r="B12">
            <v>42271</v>
          </cell>
          <cell r="E12" t="str">
            <v>19H20</v>
          </cell>
        </row>
        <row r="15">
          <cell r="E15" t="str">
            <v>nuageux</v>
          </cell>
        </row>
        <row r="19">
          <cell r="G19">
            <v>127</v>
          </cell>
        </row>
        <row r="26">
          <cell r="H26">
            <v>0.5</v>
          </cell>
        </row>
        <row r="51">
          <cell r="D51">
            <v>0.30614173228346431</v>
          </cell>
        </row>
      </sheetData>
      <sheetData sheetId="1"/>
      <sheetData sheetId="2">
        <row r="27">
          <cell r="C27">
            <v>2.6000000000000005</v>
          </cell>
          <cell r="D27">
            <v>2.57</v>
          </cell>
        </row>
      </sheetData>
      <sheetData sheetId="3">
        <row r="5">
          <cell r="E5">
            <v>0</v>
          </cell>
          <cell r="H5">
            <v>31.659999999999997</v>
          </cell>
          <cell r="K5">
            <v>27.272363636363629</v>
          </cell>
        </row>
        <row r="6">
          <cell r="E6">
            <v>7.12</v>
          </cell>
          <cell r="H6">
            <v>4.3600000000000003</v>
          </cell>
          <cell r="K6">
            <v>10.466690909090905</v>
          </cell>
        </row>
        <row r="7">
          <cell r="E7">
            <v>0</v>
          </cell>
          <cell r="H7">
            <v>0.20000000000000018</v>
          </cell>
          <cell r="K7">
            <v>2.6535272727272745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IVR-A15-PC-BAN</v>
          </cell>
        </row>
        <row r="6">
          <cell r="D6" t="str">
            <v>AL 445 MH - Vincennes Déchets Industriels et Commerciaux</v>
          </cell>
        </row>
        <row r="8">
          <cell r="D8" t="str">
            <v>IVRY</v>
          </cell>
        </row>
        <row r="12">
          <cell r="B12">
            <v>42270</v>
          </cell>
          <cell r="E12" t="str">
            <v>22H30</v>
          </cell>
        </row>
        <row r="15">
          <cell r="E15" t="str">
            <v>sec, soirée</v>
          </cell>
        </row>
        <row r="19">
          <cell r="G19">
            <v>127.6</v>
          </cell>
        </row>
        <row r="26">
          <cell r="H26">
            <v>0.4</v>
          </cell>
        </row>
        <row r="51">
          <cell r="D51">
            <v>0.48346394984326008</v>
          </cell>
        </row>
      </sheetData>
      <sheetData sheetId="1"/>
      <sheetData sheetId="2">
        <row r="27">
          <cell r="C27">
            <v>1.7000000000000002</v>
          </cell>
          <cell r="D27">
            <v>2.6400000000000006</v>
          </cell>
        </row>
      </sheetData>
      <sheetData sheetId="3">
        <row r="5">
          <cell r="E5">
            <v>13.28</v>
          </cell>
          <cell r="H5">
            <v>19.2</v>
          </cell>
          <cell r="K5">
            <v>18.088000000000001</v>
          </cell>
        </row>
        <row r="6">
          <cell r="E6">
            <v>0</v>
          </cell>
          <cell r="H6">
            <v>4.78</v>
          </cell>
          <cell r="K6">
            <v>3.9984000000000015</v>
          </cell>
        </row>
        <row r="7">
          <cell r="E7">
            <v>0</v>
          </cell>
          <cell r="H7">
            <v>0.14000000000000012</v>
          </cell>
          <cell r="K7">
            <v>1.5232000000000014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IVR-A15-PC-PAR</v>
          </cell>
        </row>
        <row r="6">
          <cell r="D6" t="str">
            <v>463 QPG 75 - 12E ARRDT</v>
          </cell>
        </row>
        <row r="8">
          <cell r="D8" t="str">
            <v>IVRY</v>
          </cell>
        </row>
        <row r="12">
          <cell r="B12">
            <v>42270</v>
          </cell>
          <cell r="E12" t="str">
            <v>18H40</v>
          </cell>
        </row>
        <row r="15">
          <cell r="E15" t="str">
            <v>sec, fin de journée</v>
          </cell>
        </row>
        <row r="19">
          <cell r="G19">
            <v>125.5</v>
          </cell>
        </row>
        <row r="26">
          <cell r="H26">
            <v>0.4</v>
          </cell>
        </row>
        <row r="51">
          <cell r="D51">
            <v>0.36462151394422304</v>
          </cell>
        </row>
      </sheetData>
      <sheetData sheetId="1"/>
      <sheetData sheetId="2">
        <row r="27">
          <cell r="C27">
            <v>2.5600000000000005</v>
          </cell>
          <cell r="D27">
            <v>4.66</v>
          </cell>
        </row>
      </sheetData>
      <sheetData sheetId="3">
        <row r="5">
          <cell r="E5">
            <v>0</v>
          </cell>
          <cell r="H5">
            <v>21.980000000000004</v>
          </cell>
          <cell r="K5">
            <v>32.02932203389831</v>
          </cell>
        </row>
        <row r="6">
          <cell r="E6">
            <v>0</v>
          </cell>
          <cell r="H6">
            <v>3.6000000000000005</v>
          </cell>
          <cell r="K6">
            <v>12.851271186440677</v>
          </cell>
        </row>
        <row r="7">
          <cell r="E7">
            <v>0</v>
          </cell>
          <cell r="H7">
            <v>0.2200000000000002</v>
          </cell>
          <cell r="K7">
            <v>0.7908474576271195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ROM-A15-PC-BAN</v>
          </cell>
        </row>
        <row r="6">
          <cell r="D6" t="str">
            <v>CT 521 KJ - PANTIN</v>
          </cell>
        </row>
        <row r="8">
          <cell r="D8" t="str">
            <v>ROMAINVILLE</v>
          </cell>
        </row>
        <row r="12">
          <cell r="B12">
            <v>42263</v>
          </cell>
          <cell r="E12" t="str">
            <v>9h45</v>
          </cell>
        </row>
        <row r="15">
          <cell r="E15" t="str">
            <v>humide, nuageux</v>
          </cell>
        </row>
        <row r="19">
          <cell r="G19">
            <v>126.20000000000002</v>
          </cell>
        </row>
        <row r="26">
          <cell r="H26">
            <v>0.42000000000000004</v>
          </cell>
        </row>
        <row r="51">
          <cell r="D51">
            <v>0.44405705229794001</v>
          </cell>
        </row>
      </sheetData>
      <sheetData sheetId="1"/>
      <sheetData sheetId="2">
        <row r="27">
          <cell r="C27">
            <v>6.3199999999999994</v>
          </cell>
          <cell r="D27">
            <v>5.4600000000000009</v>
          </cell>
        </row>
      </sheetData>
      <sheetData sheetId="3">
        <row r="5">
          <cell r="E5">
            <v>3.76</v>
          </cell>
          <cell r="H5">
            <v>17.559999999999995</v>
          </cell>
          <cell r="K5">
            <v>19.877837837837841</v>
          </cell>
        </row>
        <row r="6">
          <cell r="E6">
            <v>1</v>
          </cell>
          <cell r="H6">
            <v>2.6800000000000006</v>
          </cell>
          <cell r="K6">
            <v>7.4848648648648641</v>
          </cell>
        </row>
        <row r="7">
          <cell r="E7">
            <v>0</v>
          </cell>
          <cell r="H7">
            <v>0.42000000000000037</v>
          </cell>
          <cell r="K7">
            <v>3.3129729729729731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ROM-A15-PC-PAR</v>
          </cell>
        </row>
        <row r="6">
          <cell r="D6" t="str">
            <v>DF 871 MM 20E ARR</v>
          </cell>
        </row>
        <row r="8">
          <cell r="D8" t="str">
            <v>Romainville</v>
          </cell>
        </row>
        <row r="12">
          <cell r="B12">
            <v>42263</v>
          </cell>
          <cell r="E12" t="str">
            <v>8H40</v>
          </cell>
        </row>
        <row r="15">
          <cell r="E15" t="str">
            <v>humide, nuageux, pluvieux</v>
          </cell>
        </row>
        <row r="19">
          <cell r="G19">
            <v>125.80000000000001</v>
          </cell>
        </row>
        <row r="26">
          <cell r="H26">
            <v>0.5</v>
          </cell>
        </row>
        <row r="51">
          <cell r="D51">
            <v>0.38918918918918921</v>
          </cell>
        </row>
      </sheetData>
      <sheetData sheetId="1"/>
      <sheetData sheetId="2">
        <row r="27">
          <cell r="C27">
            <v>2.66</v>
          </cell>
          <cell r="D27">
            <v>2.92</v>
          </cell>
        </row>
      </sheetData>
      <sheetData sheetId="3">
        <row r="5">
          <cell r="E5">
            <v>0</v>
          </cell>
          <cell r="H5">
            <v>34.800000000000004</v>
          </cell>
          <cell r="K5">
            <v>27.03937500000001</v>
          </cell>
        </row>
        <row r="6">
          <cell r="E6">
            <v>0</v>
          </cell>
          <cell r="H6">
            <v>4.62</v>
          </cell>
          <cell r="K6">
            <v>4.9162500000000016</v>
          </cell>
        </row>
        <row r="7">
          <cell r="E7">
            <v>0</v>
          </cell>
          <cell r="H7">
            <v>0.3400000000000003</v>
          </cell>
          <cell r="K7">
            <v>0.64687500000000064</v>
          </cell>
        </row>
      </sheetData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STO-A15-PC-BAN</v>
          </cell>
        </row>
        <row r="6">
          <cell r="D6" t="str">
            <v>CL 437 SW - EPINAY SUR SEINE</v>
          </cell>
        </row>
        <row r="8">
          <cell r="D8" t="str">
            <v>SAINT OUEN</v>
          </cell>
        </row>
        <row r="12">
          <cell r="B12">
            <v>42264</v>
          </cell>
          <cell r="E12" t="str">
            <v>9H20</v>
          </cell>
        </row>
        <row r="15">
          <cell r="E15" t="str">
            <v>nuageux</v>
          </cell>
        </row>
        <row r="19">
          <cell r="G19">
            <v>125.89999999999999</v>
          </cell>
        </row>
        <row r="26">
          <cell r="H26">
            <v>0.45</v>
          </cell>
        </row>
        <row r="51">
          <cell r="D51">
            <v>0.45035742652899108</v>
          </cell>
        </row>
      </sheetData>
      <sheetData sheetId="1"/>
      <sheetData sheetId="2">
        <row r="27">
          <cell r="C27">
            <v>2.1000000000000005</v>
          </cell>
          <cell r="D27">
            <v>4.46</v>
          </cell>
        </row>
      </sheetData>
      <sheetData sheetId="3">
        <row r="5">
          <cell r="E5">
            <v>4.9400000000000004</v>
          </cell>
          <cell r="H5">
            <v>24.560000000000002</v>
          </cell>
          <cell r="K5">
            <v>29.793306122448982</v>
          </cell>
        </row>
        <row r="6">
          <cell r="E6">
            <v>0</v>
          </cell>
          <cell r="H6">
            <v>1.1200000000000001</v>
          </cell>
          <cell r="K6">
            <v>2.0130612244897979</v>
          </cell>
        </row>
        <row r="7">
          <cell r="E7">
            <v>0</v>
          </cell>
          <cell r="H7">
            <v>0.30000000000000027</v>
          </cell>
          <cell r="K7">
            <v>1.0736326530612255</v>
          </cell>
        </row>
      </sheetData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</sheetNames>
    <sheetDataSet>
      <sheetData sheetId="0">
        <row r="5">
          <cell r="D5" t="str">
            <v>STO-A15-PC-PAR</v>
          </cell>
        </row>
        <row r="6">
          <cell r="D6" t="str">
            <v>917 QCA 75</v>
          </cell>
        </row>
        <row r="8">
          <cell r="D8" t="str">
            <v>Saint Ouen</v>
          </cell>
        </row>
        <row r="12">
          <cell r="B12">
            <v>42264</v>
          </cell>
          <cell r="E12" t="str">
            <v>8H15</v>
          </cell>
        </row>
        <row r="15">
          <cell r="E15" t="str">
            <v>humide, nuageux</v>
          </cell>
        </row>
        <row r="19">
          <cell r="G19">
            <v>125.80000000000001</v>
          </cell>
        </row>
        <row r="26">
          <cell r="H26">
            <v>0.5</v>
          </cell>
        </row>
        <row r="51">
          <cell r="D51">
            <v>0.39268680445151022</v>
          </cell>
        </row>
      </sheetData>
      <sheetData sheetId="1"/>
      <sheetData sheetId="2">
        <row r="27">
          <cell r="C27">
            <v>4.66</v>
          </cell>
          <cell r="D27">
            <v>3.24</v>
          </cell>
        </row>
      </sheetData>
      <sheetData sheetId="3">
        <row r="5">
          <cell r="E5">
            <v>3.9799999999999995</v>
          </cell>
          <cell r="H5">
            <v>22.620000000000005</v>
          </cell>
          <cell r="K5">
            <v>35.734774774774777</v>
          </cell>
        </row>
        <row r="6">
          <cell r="E6">
            <v>1.4</v>
          </cell>
          <cell r="H6">
            <v>2.98</v>
          </cell>
          <cell r="K6">
            <v>1.5462162162162174</v>
          </cell>
        </row>
        <row r="7">
          <cell r="E7">
            <v>0</v>
          </cell>
          <cell r="H7">
            <v>0.14000000000000012</v>
          </cell>
          <cell r="K7">
            <v>1.2026126126126138</v>
          </cell>
        </row>
      </sheetData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 A14 PB BAN</v>
          </cell>
        </row>
      </sheetData>
      <sheetData sheetId="1"/>
      <sheetData sheetId="2">
        <row r="27">
          <cell r="C27">
            <v>9.08</v>
          </cell>
        </row>
      </sheetData>
      <sheetData sheetId="3">
        <row r="5">
          <cell r="E5">
            <v>0</v>
          </cell>
        </row>
      </sheetData>
      <sheetData sheetId="4"/>
      <sheetData sheetId="5">
        <row r="8">
          <cell r="N8">
            <v>53.787605391864929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ISS-A15-PB-PAR</v>
          </cell>
        </row>
        <row r="6">
          <cell r="D6" t="str">
            <v>AK 406 QT - 7E ARRDT</v>
          </cell>
        </row>
        <row r="8">
          <cell r="D8" t="str">
            <v>ISSEANE</v>
          </cell>
        </row>
        <row r="12">
          <cell r="B12">
            <v>42271</v>
          </cell>
          <cell r="E12" t="str">
            <v>19H20</v>
          </cell>
        </row>
        <row r="15">
          <cell r="E15" t="str">
            <v>nuageux</v>
          </cell>
        </row>
        <row r="19">
          <cell r="G19">
            <v>126.49999999999999</v>
          </cell>
        </row>
        <row r="26">
          <cell r="H26">
            <v>0.47</v>
          </cell>
        </row>
        <row r="51">
          <cell r="D51">
            <v>0.33059288537549381</v>
          </cell>
        </row>
      </sheetData>
      <sheetData sheetId="1" refreshError="1"/>
      <sheetData sheetId="2">
        <row r="27">
          <cell r="C27">
            <v>2.76</v>
          </cell>
          <cell r="D27">
            <v>3.08</v>
          </cell>
        </row>
      </sheetData>
      <sheetData sheetId="3">
        <row r="5">
          <cell r="E5">
            <v>0</v>
          </cell>
          <cell r="H5">
            <v>3.0000000000000027E-2</v>
          </cell>
          <cell r="K5">
            <v>6.1006028368794345</v>
          </cell>
        </row>
        <row r="6">
          <cell r="E6">
            <v>0</v>
          </cell>
          <cell r="H6">
            <v>2.97</v>
          </cell>
          <cell r="K6">
            <v>4.1813120567375881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</v>
          </cell>
          <cell r="H10">
            <v>0.37000000000000011</v>
          </cell>
          <cell r="K10">
            <v>0.89109929078014272</v>
          </cell>
        </row>
        <row r="11">
          <cell r="E11">
            <v>0</v>
          </cell>
          <cell r="H11">
            <v>1.67</v>
          </cell>
          <cell r="K11">
            <v>0</v>
          </cell>
        </row>
        <row r="12">
          <cell r="E12">
            <v>0</v>
          </cell>
          <cell r="H12">
            <v>0.33000000000000007</v>
          </cell>
          <cell r="K12">
            <v>0.34273049645390108</v>
          </cell>
        </row>
        <row r="13">
          <cell r="E13">
            <v>0</v>
          </cell>
          <cell r="H13">
            <v>0.81</v>
          </cell>
          <cell r="K13">
            <v>0.75400709219858242</v>
          </cell>
        </row>
        <row r="14">
          <cell r="E14">
            <v>0</v>
          </cell>
          <cell r="H14">
            <v>0.53000000000000025</v>
          </cell>
          <cell r="K14">
            <v>1.3023758865248241</v>
          </cell>
        </row>
        <row r="15">
          <cell r="E15">
            <v>0</v>
          </cell>
          <cell r="H15">
            <v>0.83000000000000007</v>
          </cell>
          <cell r="K15">
            <v>0.20563829787234061</v>
          </cell>
        </row>
        <row r="16">
          <cell r="E16">
            <v>0.4</v>
          </cell>
          <cell r="H16">
            <v>0.87000000000000011</v>
          </cell>
          <cell r="K16">
            <v>0.6169148936170219</v>
          </cell>
        </row>
        <row r="17">
          <cell r="E17">
            <v>0</v>
          </cell>
          <cell r="H17">
            <v>0.9700000000000002</v>
          </cell>
          <cell r="K17">
            <v>0.34273049645390108</v>
          </cell>
        </row>
        <row r="18">
          <cell r="E18">
            <v>0</v>
          </cell>
          <cell r="H18">
            <v>0.73</v>
          </cell>
          <cell r="K18">
            <v>6.8546099290780219E-2</v>
          </cell>
        </row>
        <row r="19">
          <cell r="E19">
            <v>0</v>
          </cell>
          <cell r="H19">
            <v>0.13000000000000012</v>
          </cell>
          <cell r="K19">
            <v>0.89109929078014272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1.67</v>
          </cell>
          <cell r="K22">
            <v>1.1652836879432638</v>
          </cell>
        </row>
        <row r="23">
          <cell r="E23">
            <v>0</v>
          </cell>
          <cell r="H23">
            <v>10.209999999999999</v>
          </cell>
          <cell r="K23">
            <v>6.8546099290780219E-2</v>
          </cell>
        </row>
        <row r="24">
          <cell r="E24">
            <v>0</v>
          </cell>
          <cell r="H24">
            <v>0.27</v>
          </cell>
          <cell r="K24">
            <v>4.3184042553191491</v>
          </cell>
        </row>
        <row r="25">
          <cell r="E25">
            <v>0</v>
          </cell>
          <cell r="H25">
            <v>7.9899999999999984</v>
          </cell>
          <cell r="K25">
            <v>0.89109929078014272</v>
          </cell>
        </row>
        <row r="26">
          <cell r="E26">
            <v>0</v>
          </cell>
          <cell r="H26">
            <v>0.39000000000000012</v>
          </cell>
          <cell r="K26">
            <v>2.1249290780141852</v>
          </cell>
        </row>
        <row r="27">
          <cell r="E27">
            <v>0</v>
          </cell>
          <cell r="H27">
            <v>0.17000000000000015</v>
          </cell>
          <cell r="K27">
            <v>0</v>
          </cell>
        </row>
        <row r="28">
          <cell r="E28">
            <v>0</v>
          </cell>
          <cell r="H28">
            <v>0.49000000000000021</v>
          </cell>
          <cell r="K28">
            <v>0.89109929078014272</v>
          </cell>
        </row>
        <row r="29">
          <cell r="E29">
            <v>0</v>
          </cell>
          <cell r="H29">
            <v>1.5500000000000003</v>
          </cell>
          <cell r="K29">
            <v>3.7700354609929101</v>
          </cell>
        </row>
        <row r="30">
          <cell r="E30">
            <v>0.04</v>
          </cell>
          <cell r="H30">
            <v>0.41000000000000014</v>
          </cell>
          <cell r="K30">
            <v>0.75400709219858242</v>
          </cell>
        </row>
        <row r="31">
          <cell r="E31">
            <v>0</v>
          </cell>
          <cell r="H31">
            <v>4.2100000000000009</v>
          </cell>
          <cell r="K31">
            <v>2.8103900709219873</v>
          </cell>
        </row>
        <row r="32">
          <cell r="E32">
            <v>0</v>
          </cell>
          <cell r="H32">
            <v>0</v>
          </cell>
          <cell r="K32">
            <v>1.1652836879432638</v>
          </cell>
        </row>
        <row r="33">
          <cell r="E33">
            <v>0</v>
          </cell>
          <cell r="H33">
            <v>0</v>
          </cell>
          <cell r="K33">
            <v>6.8546099290780219E-2</v>
          </cell>
        </row>
        <row r="34">
          <cell r="E34">
            <v>0</v>
          </cell>
          <cell r="H34">
            <v>1.0000000000000009E-2</v>
          </cell>
          <cell r="K34">
            <v>6.8546099290780219E-2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3.0000000000000027E-2</v>
          </cell>
          <cell r="K37">
            <v>0.20563829787234061</v>
          </cell>
        </row>
        <row r="38">
          <cell r="E38">
            <v>0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0.64999999999999991</v>
          </cell>
          <cell r="K39">
            <v>1.1652836879432638</v>
          </cell>
        </row>
        <row r="40">
          <cell r="E40">
            <v>0</v>
          </cell>
          <cell r="H40">
            <v>1.1599999999999999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8.0000000000000071E-2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0.28000000000000025</v>
          </cell>
          <cell r="K50">
            <v>2.0563829787234065</v>
          </cell>
        </row>
      </sheetData>
      <sheetData sheetId="4" refreshError="1"/>
      <sheetData sheetId="5">
        <row r="8">
          <cell r="N8">
            <v>31.546780933357851</v>
          </cell>
        </row>
        <row r="9">
          <cell r="N9">
            <v>6.818945957930759</v>
          </cell>
        </row>
        <row r="10">
          <cell r="N10">
            <v>4.1259579242870341</v>
          </cell>
        </row>
        <row r="11">
          <cell r="N11">
            <v>2.2318396366936648</v>
          </cell>
        </row>
        <row r="12">
          <cell r="N12">
            <v>2.7605271908570668</v>
          </cell>
        </row>
        <row r="13">
          <cell r="N13">
            <v>14.850388345516143</v>
          </cell>
        </row>
        <row r="14">
          <cell r="N14">
            <v>20.064396230094012</v>
          </cell>
        </row>
        <row r="15">
          <cell r="N15">
            <v>1.1970669047025924</v>
          </cell>
        </row>
        <row r="16">
          <cell r="N16">
            <v>7.9636684178891732</v>
          </cell>
        </row>
        <row r="17">
          <cell r="N17">
            <v>0.38438995996468711</v>
          </cell>
        </row>
        <row r="18">
          <cell r="N18">
            <v>2.0161448643477597</v>
          </cell>
        </row>
        <row r="19">
          <cell r="N19">
            <v>1.2318041261217882</v>
          </cell>
        </row>
        <row r="20">
          <cell r="N20">
            <v>4.8080895082374724</v>
          </cell>
        </row>
        <row r="32">
          <cell r="N32">
            <v>1.2485630622489172</v>
          </cell>
        </row>
        <row r="33">
          <cell r="N33">
            <v>1.6004270890525489</v>
          </cell>
        </row>
        <row r="34">
          <cell r="N34">
            <v>0.64470425757879823</v>
          </cell>
        </row>
        <row r="35">
          <cell r="N35">
            <v>1.5139836868463135</v>
          </cell>
        </row>
        <row r="36">
          <cell r="N36">
            <v>1.8112678622041818</v>
          </cell>
        </row>
        <row r="37">
          <cell r="N37">
            <v>1.0021320881988516</v>
          </cell>
        </row>
        <row r="38">
          <cell r="N38">
            <v>1.826692890004566</v>
          </cell>
        </row>
        <row r="39">
          <cell r="N39">
            <v>1.2971329460836167</v>
          </cell>
        </row>
        <row r="43">
          <cell r="N43">
            <v>2.7605271908570668</v>
          </cell>
        </row>
        <row r="44">
          <cell r="N44">
            <v>10.290730239299744</v>
          </cell>
        </row>
        <row r="45">
          <cell r="N45">
            <v>4.5596581062163963</v>
          </cell>
        </row>
        <row r="46">
          <cell r="N46">
            <v>9.909817548075285</v>
          </cell>
        </row>
        <row r="47">
          <cell r="N47">
            <v>2.5094192957901607</v>
          </cell>
        </row>
        <row r="48">
          <cell r="N48">
            <v>0.16961221416387043</v>
          </cell>
        </row>
        <row r="49">
          <cell r="N49">
            <v>1.5406340246889425</v>
          </cell>
        </row>
        <row r="50">
          <cell r="N50">
            <v>5.9349131473757515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IVR-A15-PB-BAN</v>
          </cell>
        </row>
        <row r="6">
          <cell r="D6" t="str">
            <v>AL 445 MH - Vincennes Déchets Industriels et Commerciaux</v>
          </cell>
        </row>
        <row r="8">
          <cell r="D8" t="str">
            <v>IVRY</v>
          </cell>
        </row>
        <row r="12">
          <cell r="B12">
            <v>42270</v>
          </cell>
          <cell r="E12" t="str">
            <v>22H30</v>
          </cell>
        </row>
        <row r="15">
          <cell r="E15" t="str">
            <v>sec, soirée</v>
          </cell>
        </row>
        <row r="19">
          <cell r="G19">
            <v>130.19999999999999</v>
          </cell>
        </row>
        <row r="26">
          <cell r="H26">
            <v>0.4</v>
          </cell>
        </row>
        <row r="51">
          <cell r="D51">
            <v>0.40337941628264201</v>
          </cell>
        </row>
      </sheetData>
      <sheetData sheetId="1" refreshError="1"/>
      <sheetData sheetId="2">
        <row r="27">
          <cell r="C27">
            <v>2.84</v>
          </cell>
          <cell r="D27">
            <v>4.24</v>
          </cell>
        </row>
      </sheetData>
      <sheetData sheetId="3">
        <row r="5">
          <cell r="E5">
            <v>0</v>
          </cell>
          <cell r="H5">
            <v>0.49000000000000021</v>
          </cell>
          <cell r="K5">
            <v>2.3177000000000008</v>
          </cell>
        </row>
        <row r="6">
          <cell r="E6">
            <v>0</v>
          </cell>
          <cell r="H6">
            <v>3.93</v>
          </cell>
          <cell r="K6">
            <v>7.3842999999999996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3.0000000000000027E-2</v>
          </cell>
          <cell r="K8">
            <v>0.16170000000000012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</v>
          </cell>
          <cell r="H10">
            <v>0.41000000000000014</v>
          </cell>
          <cell r="K10">
            <v>0</v>
          </cell>
        </row>
        <row r="11">
          <cell r="E11">
            <v>0</v>
          </cell>
          <cell r="H11">
            <v>0.83000000000000007</v>
          </cell>
          <cell r="K11">
            <v>0</v>
          </cell>
        </row>
        <row r="12">
          <cell r="E12">
            <v>0</v>
          </cell>
          <cell r="H12">
            <v>2.27</v>
          </cell>
          <cell r="K12">
            <v>0.16170000000000012</v>
          </cell>
        </row>
        <row r="13">
          <cell r="E13">
            <v>0</v>
          </cell>
          <cell r="H13">
            <v>0.43000000000000016</v>
          </cell>
          <cell r="K13">
            <v>0</v>
          </cell>
        </row>
        <row r="14">
          <cell r="E14">
            <v>0</v>
          </cell>
          <cell r="H14">
            <v>9.000000000000008E-2</v>
          </cell>
          <cell r="K14">
            <v>0.91630000000000067</v>
          </cell>
        </row>
        <row r="15">
          <cell r="E15">
            <v>0</v>
          </cell>
          <cell r="H15">
            <v>0.27</v>
          </cell>
          <cell r="K15">
            <v>0.3773000000000003</v>
          </cell>
        </row>
        <row r="16">
          <cell r="E16">
            <v>7.9599999999999991</v>
          </cell>
          <cell r="H16">
            <v>1.63</v>
          </cell>
          <cell r="K16">
            <v>1.2396999999999998</v>
          </cell>
        </row>
        <row r="17">
          <cell r="E17">
            <v>0</v>
          </cell>
          <cell r="H17">
            <v>0.13000000000000012</v>
          </cell>
          <cell r="K17">
            <v>1.0241000000000009</v>
          </cell>
        </row>
        <row r="18">
          <cell r="E18">
            <v>0</v>
          </cell>
          <cell r="H18">
            <v>0.35000000000000009</v>
          </cell>
          <cell r="K18">
            <v>0</v>
          </cell>
        </row>
        <row r="19">
          <cell r="E19">
            <v>0</v>
          </cell>
          <cell r="H19">
            <v>0.35000000000000009</v>
          </cell>
          <cell r="K19">
            <v>1.131900000000001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</v>
          </cell>
          <cell r="H22">
            <v>0</v>
          </cell>
          <cell r="K22">
            <v>0.26950000000000024</v>
          </cell>
        </row>
        <row r="23">
          <cell r="E23">
            <v>0</v>
          </cell>
          <cell r="H23">
            <v>1.0000000000000009E-2</v>
          </cell>
          <cell r="K23">
            <v>5.0127000000000006</v>
          </cell>
        </row>
        <row r="24">
          <cell r="E24">
            <v>0</v>
          </cell>
          <cell r="H24">
            <v>1.35</v>
          </cell>
          <cell r="K24">
            <v>7.0609000000000002</v>
          </cell>
        </row>
        <row r="25">
          <cell r="E25">
            <v>0</v>
          </cell>
          <cell r="H25">
            <v>6.01</v>
          </cell>
          <cell r="K25">
            <v>0.70070000000000066</v>
          </cell>
        </row>
        <row r="26">
          <cell r="E26">
            <v>0</v>
          </cell>
          <cell r="H26">
            <v>0.43000000000000016</v>
          </cell>
          <cell r="K26">
            <v>0.70070000000000066</v>
          </cell>
        </row>
        <row r="27">
          <cell r="E27">
            <v>0</v>
          </cell>
          <cell r="H27">
            <v>0</v>
          </cell>
          <cell r="K27">
            <v>0</v>
          </cell>
        </row>
        <row r="28">
          <cell r="E28">
            <v>0</v>
          </cell>
          <cell r="H28">
            <v>1.48</v>
          </cell>
          <cell r="K28">
            <v>1.4553</v>
          </cell>
        </row>
        <row r="29">
          <cell r="E29">
            <v>0.18</v>
          </cell>
          <cell r="H29">
            <v>0.21000000000000019</v>
          </cell>
          <cell r="K29">
            <v>0.91630000000000067</v>
          </cell>
        </row>
        <row r="30">
          <cell r="E30">
            <v>0.2</v>
          </cell>
          <cell r="H30">
            <v>2.25</v>
          </cell>
          <cell r="K30">
            <v>1.0241000000000009</v>
          </cell>
        </row>
        <row r="31">
          <cell r="E31">
            <v>0</v>
          </cell>
          <cell r="H31">
            <v>1.8900000000000001</v>
          </cell>
          <cell r="K31">
            <v>0</v>
          </cell>
        </row>
        <row r="32">
          <cell r="E32">
            <v>0</v>
          </cell>
          <cell r="H32">
            <v>0.33000000000000007</v>
          </cell>
          <cell r="K32">
            <v>0.91630000000000067</v>
          </cell>
        </row>
        <row r="33">
          <cell r="E33">
            <v>0</v>
          </cell>
          <cell r="H33">
            <v>3.73</v>
          </cell>
          <cell r="K33">
            <v>0.70070000000000066</v>
          </cell>
        </row>
        <row r="34">
          <cell r="E34">
            <v>0</v>
          </cell>
          <cell r="H34">
            <v>0</v>
          </cell>
          <cell r="K34">
            <v>0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3.0000000000000027E-2</v>
          </cell>
          <cell r="K37">
            <v>0.26950000000000002</v>
          </cell>
        </row>
        <row r="38">
          <cell r="E38">
            <v>0</v>
          </cell>
          <cell r="H38">
            <v>0.31000000000000005</v>
          </cell>
          <cell r="K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</row>
        <row r="40">
          <cell r="E40">
            <v>0</v>
          </cell>
          <cell r="H40">
            <v>8.0000000000000071E-2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0.26000000000000023</v>
          </cell>
          <cell r="K50">
            <v>1.5092000000000012</v>
          </cell>
        </row>
      </sheetData>
      <sheetData sheetId="4" refreshError="1"/>
      <sheetData sheetId="5">
        <row r="8">
          <cell r="N8">
            <v>34.94175668953978</v>
          </cell>
        </row>
        <row r="9">
          <cell r="N9">
            <v>5.1053135147769906</v>
          </cell>
        </row>
        <row r="10">
          <cell r="N10">
            <v>12.625902044351644</v>
          </cell>
        </row>
        <row r="11">
          <cell r="N11">
            <v>2.3049708241490148</v>
          </cell>
        </row>
        <row r="12">
          <cell r="N12">
            <v>0.26917940804430746</v>
          </cell>
        </row>
        <row r="13">
          <cell r="N13">
            <v>13.789902139323974</v>
          </cell>
        </row>
        <row r="14">
          <cell r="N14">
            <v>13.615990838986267</v>
          </cell>
        </row>
        <row r="15">
          <cell r="N15">
            <v>3.5435306556547177</v>
          </cell>
        </row>
        <row r="16">
          <cell r="N16">
            <v>3.1292412427580212</v>
          </cell>
        </row>
        <row r="17">
          <cell r="N17">
            <v>5.1922409432352792</v>
          </cell>
        </row>
        <row r="18">
          <cell r="N18">
            <v>0</v>
          </cell>
        </row>
        <row r="19">
          <cell r="N19">
            <v>8.1503737845973812E-2</v>
          </cell>
        </row>
        <row r="20">
          <cell r="N20">
            <v>5.4004679613340407</v>
          </cell>
        </row>
        <row r="32">
          <cell r="N32">
            <v>0.41972878151449405</v>
          </cell>
        </row>
        <row r="33">
          <cell r="N33">
            <v>0.82154238491755915</v>
          </cell>
        </row>
        <row r="34">
          <cell r="N34">
            <v>2.4069212257879862</v>
          </cell>
        </row>
        <row r="35">
          <cell r="N35">
            <v>0.42984625303354757</v>
          </cell>
        </row>
        <row r="36">
          <cell r="N36">
            <v>1.0272748695234042</v>
          </cell>
        </row>
        <row r="37">
          <cell r="N37">
            <v>0.64533893620925709</v>
          </cell>
        </row>
        <row r="38">
          <cell r="N38">
            <v>10.805526197621974</v>
          </cell>
        </row>
        <row r="39">
          <cell r="N39">
            <v>1.1750369105204133</v>
          </cell>
        </row>
        <row r="43">
          <cell r="N43">
            <v>0.26917940804430746</v>
          </cell>
        </row>
        <row r="44">
          <cell r="N44">
            <v>5.198450846774306</v>
          </cell>
        </row>
        <row r="45">
          <cell r="N45">
            <v>8.5914512925496691</v>
          </cell>
        </row>
        <row r="46">
          <cell r="N46">
            <v>7.6392626748975205</v>
          </cell>
        </row>
        <row r="47">
          <cell r="N47">
            <v>1.150508259663529</v>
          </cell>
        </row>
        <row r="48">
          <cell r="N48">
            <v>0</v>
          </cell>
        </row>
        <row r="49">
          <cell r="N49">
            <v>3.3397666806442858</v>
          </cell>
        </row>
        <row r="50">
          <cell r="N50">
            <v>1.4864532237809309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IVR-A15-PB-PAR</v>
          </cell>
        </row>
        <row r="6">
          <cell r="D6" t="str">
            <v>463 QPG 75 - 12E ARRDT</v>
          </cell>
        </row>
        <row r="8">
          <cell r="D8" t="str">
            <v>IVRY</v>
          </cell>
        </row>
        <row r="12">
          <cell r="B12">
            <v>42270</v>
          </cell>
          <cell r="E12" t="str">
            <v>18H40</v>
          </cell>
        </row>
        <row r="15">
          <cell r="E15" t="str">
            <v>sec, fin de journée</v>
          </cell>
        </row>
        <row r="19">
          <cell r="G19">
            <v>124.7</v>
          </cell>
        </row>
        <row r="26">
          <cell r="H26">
            <v>0.4</v>
          </cell>
        </row>
        <row r="51">
          <cell r="D51">
            <v>0.35813953488372091</v>
          </cell>
        </row>
      </sheetData>
      <sheetData sheetId="1" refreshError="1"/>
      <sheetData sheetId="2">
        <row r="27">
          <cell r="C27">
            <v>1.6600000000000001</v>
          </cell>
          <cell r="D27">
            <v>4.08</v>
          </cell>
        </row>
      </sheetData>
      <sheetData sheetId="3">
        <row r="5">
          <cell r="E5">
            <v>0</v>
          </cell>
          <cell r="H5">
            <v>0.37000000000000011</v>
          </cell>
          <cell r="K5">
            <v>1.946629213483146</v>
          </cell>
        </row>
        <row r="6">
          <cell r="E6">
            <v>0</v>
          </cell>
          <cell r="H6">
            <v>0.1</v>
          </cell>
          <cell r="K6">
            <v>1.946629213483146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0.38932584269662918</v>
          </cell>
        </row>
        <row r="9">
          <cell r="E9">
            <v>0</v>
          </cell>
          <cell r="H9">
            <v>0</v>
          </cell>
          <cell r="K9">
            <v>7.7865168539325846E-2</v>
          </cell>
        </row>
        <row r="10">
          <cell r="E10">
            <v>0</v>
          </cell>
          <cell r="H10">
            <v>0.81</v>
          </cell>
          <cell r="K10">
            <v>0.23359550561797771</v>
          </cell>
        </row>
        <row r="11">
          <cell r="E11">
            <v>0</v>
          </cell>
          <cell r="H11">
            <v>4.1899999999999995</v>
          </cell>
          <cell r="K11">
            <v>0.54505617977528142</v>
          </cell>
        </row>
        <row r="12">
          <cell r="E12">
            <v>0</v>
          </cell>
          <cell r="H12">
            <v>1.3900000000000001</v>
          </cell>
          <cell r="K12">
            <v>0.54505617977528142</v>
          </cell>
        </row>
        <row r="13">
          <cell r="E13">
            <v>0</v>
          </cell>
          <cell r="H13">
            <v>1.63</v>
          </cell>
          <cell r="K13">
            <v>1.6351685393258442</v>
          </cell>
        </row>
        <row r="14">
          <cell r="E14">
            <v>0.38</v>
          </cell>
          <cell r="H14">
            <v>0.57000000000000028</v>
          </cell>
          <cell r="K14">
            <v>0.85651685393258503</v>
          </cell>
        </row>
        <row r="15">
          <cell r="E15">
            <v>0</v>
          </cell>
          <cell r="H15">
            <v>0.81</v>
          </cell>
          <cell r="K15">
            <v>0.85651685393258503</v>
          </cell>
        </row>
        <row r="16">
          <cell r="E16">
            <v>1.4800000000000004</v>
          </cell>
          <cell r="H16">
            <v>0.89000000000000012</v>
          </cell>
          <cell r="K16">
            <v>0.38932584269662918</v>
          </cell>
        </row>
        <row r="17">
          <cell r="E17">
            <v>0</v>
          </cell>
          <cell r="H17">
            <v>1.0100000000000002</v>
          </cell>
          <cell r="K17">
            <v>1.0122471910112369</v>
          </cell>
        </row>
        <row r="18">
          <cell r="E18">
            <v>0</v>
          </cell>
          <cell r="H18">
            <v>0.66999999999999993</v>
          </cell>
          <cell r="K18">
            <v>0.38932584269662918</v>
          </cell>
        </row>
        <row r="19">
          <cell r="E19">
            <v>0</v>
          </cell>
          <cell r="H19">
            <v>0.35000000000000009</v>
          </cell>
          <cell r="K19">
            <v>0.70078651685393323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0.1100000000000001</v>
          </cell>
          <cell r="K21">
            <v>0</v>
          </cell>
        </row>
        <row r="22">
          <cell r="E22">
            <v>0.62</v>
          </cell>
          <cell r="H22">
            <v>0.73</v>
          </cell>
          <cell r="K22">
            <v>0.70078651685393323</v>
          </cell>
        </row>
        <row r="23">
          <cell r="E23">
            <v>0</v>
          </cell>
          <cell r="H23">
            <v>2.25</v>
          </cell>
          <cell r="K23">
            <v>5.061235955056179</v>
          </cell>
        </row>
        <row r="24">
          <cell r="E24">
            <v>0</v>
          </cell>
          <cell r="H24">
            <v>0.75</v>
          </cell>
          <cell r="K24">
            <v>3.8153932584269681</v>
          </cell>
        </row>
        <row r="25">
          <cell r="E25">
            <v>0</v>
          </cell>
          <cell r="H25">
            <v>5.8699999999999992</v>
          </cell>
          <cell r="K25">
            <v>1.790898876404494</v>
          </cell>
        </row>
        <row r="26">
          <cell r="E26">
            <v>0</v>
          </cell>
          <cell r="H26">
            <v>1.0100000000000002</v>
          </cell>
          <cell r="K26">
            <v>1.4794382022471924</v>
          </cell>
        </row>
        <row r="27">
          <cell r="E27">
            <v>0</v>
          </cell>
          <cell r="H27">
            <v>0.43000000000000016</v>
          </cell>
          <cell r="K27">
            <v>1.1679775280898888</v>
          </cell>
        </row>
        <row r="28">
          <cell r="E28">
            <v>0</v>
          </cell>
          <cell r="H28">
            <v>1.0200000000000005</v>
          </cell>
          <cell r="K28">
            <v>1.6351685393258442</v>
          </cell>
        </row>
        <row r="29">
          <cell r="E29">
            <v>0</v>
          </cell>
          <cell r="H29">
            <v>0.21000000000000019</v>
          </cell>
          <cell r="K29">
            <v>1.790898876404494</v>
          </cell>
        </row>
        <row r="30">
          <cell r="E30">
            <v>0</v>
          </cell>
          <cell r="H30">
            <v>0.1100000000000001</v>
          </cell>
          <cell r="K30">
            <v>0.54505617977528142</v>
          </cell>
        </row>
        <row r="31">
          <cell r="E31">
            <v>0</v>
          </cell>
          <cell r="H31">
            <v>3.9499999999999997</v>
          </cell>
          <cell r="K31">
            <v>9.4216853932584268</v>
          </cell>
        </row>
        <row r="32">
          <cell r="E32">
            <v>0</v>
          </cell>
          <cell r="H32">
            <v>0.35000000000000009</v>
          </cell>
          <cell r="K32">
            <v>0.85651685393258503</v>
          </cell>
        </row>
        <row r="33">
          <cell r="E33">
            <v>0</v>
          </cell>
          <cell r="H33">
            <v>0.53000000000000025</v>
          </cell>
          <cell r="K33">
            <v>0.85651685393258503</v>
          </cell>
        </row>
        <row r="34">
          <cell r="E34">
            <v>0</v>
          </cell>
          <cell r="H34">
            <v>5.0000000000000044E-2</v>
          </cell>
          <cell r="K34">
            <v>0.38932584269662951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0.25</v>
          </cell>
          <cell r="K37">
            <v>7.7865168539325916E-2</v>
          </cell>
        </row>
        <row r="38">
          <cell r="E38">
            <v>0.88</v>
          </cell>
          <cell r="H38">
            <v>7.0000000000000062E-2</v>
          </cell>
          <cell r="K38">
            <v>0.54505617977528142</v>
          </cell>
        </row>
        <row r="39">
          <cell r="E39">
            <v>0</v>
          </cell>
          <cell r="H39">
            <v>0</v>
          </cell>
          <cell r="K39">
            <v>0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2.0000000000000018E-2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0.46719101123595541</v>
          </cell>
        </row>
        <row r="50">
          <cell r="E50">
            <v>0</v>
          </cell>
          <cell r="H50">
            <v>0.24000000000000021</v>
          </cell>
          <cell r="K50">
            <v>0.46719101123595541</v>
          </cell>
        </row>
      </sheetData>
      <sheetData sheetId="4" refreshError="1"/>
      <sheetData sheetId="5">
        <row r="8">
          <cell r="N8">
            <v>13.187404839347959</v>
          </cell>
        </row>
        <row r="9">
          <cell r="N9">
            <v>14.286545574431971</v>
          </cell>
        </row>
        <row r="10">
          <cell r="N10">
            <v>7.2061246826269025</v>
          </cell>
        </row>
        <row r="11">
          <cell r="N11">
            <v>3.1227318130169874</v>
          </cell>
        </row>
        <row r="12">
          <cell r="N12">
            <v>2.2898110377078824</v>
          </cell>
        </row>
        <row r="13">
          <cell r="N13">
            <v>13.642815569467114</v>
          </cell>
        </row>
        <row r="14">
          <cell r="N14">
            <v>20.665651769448697</v>
          </cell>
        </row>
        <row r="15">
          <cell r="N15">
            <v>0.74692748602863879</v>
          </cell>
        </row>
        <row r="16">
          <cell r="N16">
            <v>16.257309924043351</v>
          </cell>
        </row>
        <row r="17">
          <cell r="N17">
            <v>4.2015958974604617</v>
          </cell>
        </row>
        <row r="18">
          <cell r="N18">
            <v>0</v>
          </cell>
        </row>
        <row r="19">
          <cell r="N19">
            <v>0.55476992569500483</v>
          </cell>
        </row>
        <row r="20">
          <cell r="N20">
            <v>3.8383114807250363</v>
          </cell>
        </row>
        <row r="32">
          <cell r="N32">
            <v>1.1937396075549767</v>
          </cell>
        </row>
        <row r="33">
          <cell r="N33">
            <v>5.2399531389720586</v>
          </cell>
        </row>
        <row r="34">
          <cell r="N34">
            <v>2.1413903696876466</v>
          </cell>
        </row>
        <row r="35">
          <cell r="N35">
            <v>3.6495352770886544</v>
          </cell>
        </row>
        <row r="36">
          <cell r="N36">
            <v>2.0619271811286355</v>
          </cell>
        </row>
        <row r="37">
          <cell r="N37">
            <v>1.849649125884532</v>
          </cell>
        </row>
        <row r="38">
          <cell r="N38">
            <v>3.0644367488263593</v>
          </cell>
        </row>
        <row r="39">
          <cell r="N39">
            <v>2.2920388079160112</v>
          </cell>
        </row>
        <row r="43">
          <cell r="N43">
            <v>2.2898110377078824</v>
          </cell>
        </row>
        <row r="44">
          <cell r="N44">
            <v>8.4313098387027967</v>
          </cell>
        </row>
        <row r="45">
          <cell r="N45">
            <v>5.2115057307643182</v>
          </cell>
        </row>
        <row r="46">
          <cell r="N46">
            <v>9.9137682297986061</v>
          </cell>
        </row>
        <row r="47">
          <cell r="N47">
            <v>2.880174401305454</v>
          </cell>
        </row>
        <row r="48">
          <cell r="N48">
            <v>1.8485638465398828</v>
          </cell>
        </row>
        <row r="49">
          <cell r="N49">
            <v>3.4346410246908108</v>
          </cell>
        </row>
        <row r="50">
          <cell r="N50">
            <v>2.5885042671139442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ROM-A15-PB-BAN</v>
          </cell>
        </row>
        <row r="6">
          <cell r="D6" t="str">
            <v>CT 521 KJ - PANTIN</v>
          </cell>
        </row>
        <row r="8">
          <cell r="D8" t="str">
            <v>ROMAINVILLE</v>
          </cell>
        </row>
        <row r="12">
          <cell r="B12">
            <v>42263</v>
          </cell>
          <cell r="E12" t="str">
            <v>9h45</v>
          </cell>
        </row>
        <row r="15">
          <cell r="E15" t="str">
            <v>humide, nuageux</v>
          </cell>
        </row>
        <row r="19">
          <cell r="G19">
            <v>129.5</v>
          </cell>
        </row>
        <row r="26">
          <cell r="H26">
            <v>0.44</v>
          </cell>
        </row>
        <row r="51">
          <cell r="D51">
            <v>0.37204633204633186</v>
          </cell>
        </row>
      </sheetData>
      <sheetData sheetId="1" refreshError="1"/>
      <sheetData sheetId="2">
        <row r="27">
          <cell r="C27">
            <v>3.3600000000000003</v>
          </cell>
          <cell r="D27">
            <v>3.6800000000000006</v>
          </cell>
        </row>
      </sheetData>
      <sheetData sheetId="3">
        <row r="5">
          <cell r="E5">
            <v>0</v>
          </cell>
          <cell r="H5">
            <v>0.1100000000000001</v>
          </cell>
          <cell r="K5">
            <v>1.0347791164658642</v>
          </cell>
        </row>
        <row r="6">
          <cell r="E6">
            <v>0</v>
          </cell>
          <cell r="H6">
            <v>0.57000000000000028</v>
          </cell>
          <cell r="K6">
            <v>7.8802409638554227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7.9598393574297252E-2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0.21000000000000019</v>
          </cell>
          <cell r="K10">
            <v>0.55718875502008081</v>
          </cell>
        </row>
        <row r="11">
          <cell r="E11">
            <v>0</v>
          </cell>
          <cell r="H11">
            <v>2.0500000000000003</v>
          </cell>
          <cell r="K11">
            <v>0</v>
          </cell>
        </row>
        <row r="12">
          <cell r="E12">
            <v>0</v>
          </cell>
          <cell r="H12">
            <v>1.67</v>
          </cell>
          <cell r="K12">
            <v>0.71638554216867534</v>
          </cell>
        </row>
        <row r="13">
          <cell r="E13">
            <v>0</v>
          </cell>
          <cell r="H13">
            <v>0.9700000000000002</v>
          </cell>
          <cell r="K13">
            <v>1.0347791164658642</v>
          </cell>
        </row>
        <row r="14">
          <cell r="E14">
            <v>0.66000000000000014</v>
          </cell>
          <cell r="H14">
            <v>1.35</v>
          </cell>
          <cell r="K14">
            <v>1.6715662650602423</v>
          </cell>
        </row>
        <row r="15">
          <cell r="E15">
            <v>0</v>
          </cell>
          <cell r="H15">
            <v>2.1400000000000006</v>
          </cell>
          <cell r="K15">
            <v>1.830763052208835</v>
          </cell>
        </row>
        <row r="16">
          <cell r="E16">
            <v>2.08</v>
          </cell>
          <cell r="H16">
            <v>2.0200000000000005</v>
          </cell>
          <cell r="K16">
            <v>0.23879518072289177</v>
          </cell>
        </row>
        <row r="17">
          <cell r="E17">
            <v>0</v>
          </cell>
          <cell r="H17">
            <v>0.1100000000000001</v>
          </cell>
          <cell r="K17">
            <v>0.71638554216867534</v>
          </cell>
        </row>
        <row r="18">
          <cell r="E18">
            <v>0</v>
          </cell>
          <cell r="H18">
            <v>0.19000000000000017</v>
          </cell>
          <cell r="K18">
            <v>0</v>
          </cell>
        </row>
        <row r="19">
          <cell r="E19">
            <v>0</v>
          </cell>
          <cell r="H19">
            <v>3.0000000000000027E-2</v>
          </cell>
          <cell r="K19">
            <v>0.71638554216867534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0.98</v>
          </cell>
          <cell r="H22">
            <v>1.9700000000000002</v>
          </cell>
          <cell r="K22">
            <v>1.3531726907630532</v>
          </cell>
        </row>
        <row r="23">
          <cell r="E23">
            <v>0</v>
          </cell>
          <cell r="H23">
            <v>0.37000000000000011</v>
          </cell>
          <cell r="K23">
            <v>1.9899598393574296</v>
          </cell>
        </row>
        <row r="24">
          <cell r="E24">
            <v>0</v>
          </cell>
          <cell r="H24">
            <v>0.41000000000000014</v>
          </cell>
          <cell r="K24">
            <v>2.7859437751004021</v>
          </cell>
        </row>
        <row r="25">
          <cell r="E25">
            <v>0</v>
          </cell>
          <cell r="H25">
            <v>5.9300000000000015</v>
          </cell>
          <cell r="K25">
            <v>0.71638554216867534</v>
          </cell>
        </row>
        <row r="26">
          <cell r="E26">
            <v>0</v>
          </cell>
          <cell r="H26">
            <v>1.0600000000000005</v>
          </cell>
          <cell r="K26">
            <v>0.71638554216867534</v>
          </cell>
        </row>
        <row r="27">
          <cell r="E27">
            <v>0</v>
          </cell>
          <cell r="H27">
            <v>0.43000000000000016</v>
          </cell>
          <cell r="K27">
            <v>0</v>
          </cell>
        </row>
        <row r="28">
          <cell r="E28">
            <v>6.0000000000000053E-2</v>
          </cell>
          <cell r="H28">
            <v>0.68000000000000016</v>
          </cell>
          <cell r="K28">
            <v>1.9899598393574296</v>
          </cell>
        </row>
        <row r="29">
          <cell r="E29">
            <v>0</v>
          </cell>
          <cell r="H29">
            <v>2.0700000000000003</v>
          </cell>
          <cell r="K29">
            <v>2.6267469879518077</v>
          </cell>
        </row>
        <row r="30">
          <cell r="E30">
            <v>2.0000000000000018E-2</v>
          </cell>
          <cell r="H30">
            <v>0.53000000000000025</v>
          </cell>
          <cell r="K30">
            <v>0.71638554216867534</v>
          </cell>
        </row>
        <row r="31">
          <cell r="E31">
            <v>0</v>
          </cell>
          <cell r="H31">
            <v>3.6300000000000003</v>
          </cell>
          <cell r="K31">
            <v>3.4227309236947807</v>
          </cell>
        </row>
        <row r="32">
          <cell r="E32">
            <v>0</v>
          </cell>
          <cell r="H32">
            <v>3.0000000000000027E-2</v>
          </cell>
          <cell r="K32">
            <v>1.6715662650602423</v>
          </cell>
        </row>
        <row r="33">
          <cell r="E33">
            <v>0</v>
          </cell>
          <cell r="H33">
            <v>0.5900000000000003</v>
          </cell>
          <cell r="K33">
            <v>2.7859437751004021</v>
          </cell>
        </row>
        <row r="34">
          <cell r="E34">
            <v>0</v>
          </cell>
          <cell r="H34">
            <v>0.19000000000000017</v>
          </cell>
          <cell r="K34">
            <v>7.9598393574297252E-2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</v>
          </cell>
          <cell r="K37">
            <v>0</v>
          </cell>
        </row>
        <row r="38">
          <cell r="E38">
            <v>0</v>
          </cell>
          <cell r="H38">
            <v>0.73</v>
          </cell>
          <cell r="K38">
            <v>0</v>
          </cell>
        </row>
        <row r="39">
          <cell r="E39">
            <v>0</v>
          </cell>
          <cell r="H39">
            <v>9.000000000000008E-2</v>
          </cell>
          <cell r="K39">
            <v>7.9598393574297252E-2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7.9598393574297252E-2</v>
          </cell>
        </row>
        <row r="42">
          <cell r="E42">
            <v>0</v>
          </cell>
          <cell r="H42">
            <v>0</v>
          </cell>
          <cell r="K42">
            <v>0.63678714859437746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1.4500000000000002</v>
          </cell>
          <cell r="K50">
            <v>1.7511646586345395</v>
          </cell>
        </row>
      </sheetData>
      <sheetData sheetId="4" refreshError="1"/>
      <sheetData sheetId="5">
        <row r="8">
          <cell r="N8">
            <v>25.05205429949584</v>
          </cell>
        </row>
        <row r="9">
          <cell r="N9">
            <v>11.528136784019638</v>
          </cell>
        </row>
        <row r="10">
          <cell r="N10">
            <v>9.6728533429732266</v>
          </cell>
        </row>
        <row r="11">
          <cell r="N11">
            <v>1.2476199078628367</v>
          </cell>
        </row>
        <row r="12">
          <cell r="N12">
            <v>4.551304623056069</v>
          </cell>
        </row>
        <row r="13">
          <cell r="N13">
            <v>6.0527969181350381</v>
          </cell>
        </row>
        <row r="14">
          <cell r="N14">
            <v>19.427615673925292</v>
          </cell>
        </row>
        <row r="15">
          <cell r="N15">
            <v>1.3678717373608975</v>
          </cell>
        </row>
        <row r="16">
          <cell r="N16">
            <v>9.245883730443003</v>
          </cell>
        </row>
        <row r="17">
          <cell r="N17">
            <v>4.7722984871462488</v>
          </cell>
        </row>
        <row r="18">
          <cell r="N18">
            <v>0.20455342330734688</v>
          </cell>
        </row>
        <row r="19">
          <cell r="N19">
            <v>0.77258489564242339</v>
          </cell>
        </row>
        <row r="20">
          <cell r="N20">
            <v>6.1044261766321259</v>
          </cell>
        </row>
        <row r="32">
          <cell r="N32">
            <v>0.82897775784404981</v>
          </cell>
        </row>
        <row r="33">
          <cell r="N33">
            <v>2.138347792930313</v>
          </cell>
        </row>
        <row r="34">
          <cell r="N34">
            <v>2.4892303693547291</v>
          </cell>
        </row>
        <row r="35">
          <cell r="N35">
            <v>2.1114751535926177</v>
          </cell>
        </row>
        <row r="36">
          <cell r="N36">
            <v>3.9601057102979307</v>
          </cell>
        </row>
        <row r="37">
          <cell r="N37">
            <v>4.193467667201066</v>
          </cell>
        </row>
        <row r="38">
          <cell r="N38">
            <v>4.588022267740314</v>
          </cell>
        </row>
        <row r="39">
          <cell r="N39">
            <v>0.89136340803184644</v>
          </cell>
        </row>
        <row r="43">
          <cell r="N43">
            <v>4.551304623056069</v>
          </cell>
        </row>
        <row r="44">
          <cell r="N44">
            <v>2.602101428011526</v>
          </cell>
        </row>
        <row r="45">
          <cell r="N45">
            <v>3.4506954901235121</v>
          </cell>
        </row>
        <row r="46">
          <cell r="N46">
            <v>8.0507493593101085</v>
          </cell>
        </row>
        <row r="47">
          <cell r="N47">
            <v>1.9221285255991145</v>
          </cell>
        </row>
        <row r="48">
          <cell r="N48">
            <v>0.46515959860163925</v>
          </cell>
        </row>
        <row r="49">
          <cell r="N49">
            <v>3.3041056234296056</v>
          </cell>
        </row>
        <row r="50">
          <cell r="N50">
            <v>5.6854725669848261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ROM-A15-PB-PAR</v>
          </cell>
        </row>
        <row r="6">
          <cell r="D6" t="str">
            <v>DF 871 MM 20E ARR</v>
          </cell>
        </row>
        <row r="8">
          <cell r="D8" t="str">
            <v>Romainville</v>
          </cell>
        </row>
        <row r="12">
          <cell r="B12">
            <v>42263</v>
          </cell>
          <cell r="E12" t="str">
            <v>8H40</v>
          </cell>
        </row>
        <row r="15">
          <cell r="E15" t="str">
            <v>humide, nuageux, pluvieux</v>
          </cell>
        </row>
        <row r="19">
          <cell r="G19">
            <v>126.80000000000001</v>
          </cell>
        </row>
        <row r="26">
          <cell r="H26">
            <v>0.55000000000000004</v>
          </cell>
        </row>
        <row r="51">
          <cell r="D51">
            <v>0.37425078864353317</v>
          </cell>
        </row>
      </sheetData>
      <sheetData sheetId="1" refreshError="1"/>
      <sheetData sheetId="2">
        <row r="27">
          <cell r="C27">
            <v>5.660000000000001</v>
          </cell>
          <cell r="D27">
            <v>3.6800000000000006</v>
          </cell>
        </row>
      </sheetData>
      <sheetData sheetId="3">
        <row r="5">
          <cell r="E5">
            <v>0</v>
          </cell>
          <cell r="H5">
            <v>1.9900000000000002</v>
          </cell>
          <cell r="K5">
            <v>5.9274725274725286</v>
          </cell>
        </row>
        <row r="6">
          <cell r="E6">
            <v>0</v>
          </cell>
          <cell r="H6">
            <v>0.41000000000000014</v>
          </cell>
          <cell r="K6">
            <v>3.5054945054945077</v>
          </cell>
        </row>
        <row r="7">
          <cell r="E7">
            <v>0</v>
          </cell>
          <cell r="H7">
            <v>0.22999999999999998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6.3736263736263801E-2</v>
          </cell>
        </row>
        <row r="10">
          <cell r="E10">
            <v>0</v>
          </cell>
          <cell r="H10">
            <v>1.4300000000000002</v>
          </cell>
          <cell r="K10">
            <v>0.19120879120879142</v>
          </cell>
        </row>
        <row r="11">
          <cell r="E11">
            <v>0</v>
          </cell>
          <cell r="H11">
            <v>8.07</v>
          </cell>
          <cell r="K11">
            <v>0</v>
          </cell>
        </row>
        <row r="12">
          <cell r="E12">
            <v>0</v>
          </cell>
          <cell r="H12">
            <v>0.1100000000000001</v>
          </cell>
          <cell r="K12">
            <v>0.8285714285714294</v>
          </cell>
        </row>
        <row r="13">
          <cell r="E13">
            <v>0</v>
          </cell>
          <cell r="H13">
            <v>0.83000000000000007</v>
          </cell>
          <cell r="K13">
            <v>0.31868131868131899</v>
          </cell>
        </row>
        <row r="14">
          <cell r="E14">
            <v>0</v>
          </cell>
          <cell r="H14">
            <v>0.13000000000000012</v>
          </cell>
          <cell r="K14">
            <v>0.44615384615384662</v>
          </cell>
        </row>
        <row r="15">
          <cell r="E15">
            <v>0</v>
          </cell>
          <cell r="H15">
            <v>1.5100000000000002</v>
          </cell>
          <cell r="K15">
            <v>1.0835164835164846</v>
          </cell>
        </row>
        <row r="16">
          <cell r="E16">
            <v>0.86000000000000032</v>
          </cell>
          <cell r="H16">
            <v>1.29</v>
          </cell>
          <cell r="K16">
            <v>6.3736263736263801E-2</v>
          </cell>
        </row>
        <row r="17">
          <cell r="E17">
            <v>0.32</v>
          </cell>
          <cell r="H17">
            <v>0.19000000000000017</v>
          </cell>
          <cell r="K17">
            <v>0</v>
          </cell>
        </row>
        <row r="18">
          <cell r="E18">
            <v>0</v>
          </cell>
          <cell r="H18">
            <v>0.31000000000000005</v>
          </cell>
          <cell r="K18">
            <v>0.19120879120879142</v>
          </cell>
        </row>
        <row r="19">
          <cell r="E19">
            <v>0</v>
          </cell>
          <cell r="H19">
            <v>7.0000000000000062E-2</v>
          </cell>
          <cell r="K19">
            <v>0.19120879120879142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0.96</v>
          </cell>
          <cell r="H22">
            <v>2.5500000000000003</v>
          </cell>
          <cell r="K22">
            <v>1.0835164835164846</v>
          </cell>
        </row>
        <row r="23">
          <cell r="E23">
            <v>0</v>
          </cell>
          <cell r="H23">
            <v>0.43000000000000016</v>
          </cell>
          <cell r="K23">
            <v>2.8681318681318695</v>
          </cell>
        </row>
        <row r="24">
          <cell r="E24">
            <v>0</v>
          </cell>
          <cell r="H24">
            <v>0.64999999999999991</v>
          </cell>
          <cell r="K24">
            <v>4.2703296703296703</v>
          </cell>
        </row>
        <row r="25">
          <cell r="E25">
            <v>0</v>
          </cell>
          <cell r="H25">
            <v>4.09</v>
          </cell>
          <cell r="K25">
            <v>1.0835164835164846</v>
          </cell>
        </row>
        <row r="26">
          <cell r="E26">
            <v>0</v>
          </cell>
          <cell r="H26">
            <v>1.2800000000000002</v>
          </cell>
          <cell r="K26">
            <v>0.57362637362637425</v>
          </cell>
        </row>
        <row r="27">
          <cell r="E27">
            <v>0</v>
          </cell>
          <cell r="H27">
            <v>0.22999999999999998</v>
          </cell>
          <cell r="K27">
            <v>0.31868131868131899</v>
          </cell>
        </row>
        <row r="28">
          <cell r="E28">
            <v>0</v>
          </cell>
          <cell r="H28">
            <v>1.54</v>
          </cell>
          <cell r="K28">
            <v>1.8483516483516489</v>
          </cell>
        </row>
        <row r="29">
          <cell r="E29">
            <v>0</v>
          </cell>
          <cell r="H29">
            <v>0.27</v>
          </cell>
          <cell r="K29">
            <v>0.70109890109890183</v>
          </cell>
        </row>
        <row r="30">
          <cell r="E30">
            <v>1.7800000000000002</v>
          </cell>
          <cell r="H30">
            <v>0.71</v>
          </cell>
          <cell r="K30">
            <v>0.8285714285714294</v>
          </cell>
        </row>
        <row r="31">
          <cell r="E31">
            <v>0</v>
          </cell>
          <cell r="H31">
            <v>0.49000000000000021</v>
          </cell>
          <cell r="K31">
            <v>3.1230769230769249</v>
          </cell>
        </row>
        <row r="32">
          <cell r="E32">
            <v>0</v>
          </cell>
          <cell r="H32">
            <v>0.27</v>
          </cell>
          <cell r="K32">
            <v>0.44615384615384662</v>
          </cell>
        </row>
        <row r="33">
          <cell r="E33">
            <v>0.4</v>
          </cell>
          <cell r="H33">
            <v>0.1100000000000001</v>
          </cell>
          <cell r="K33">
            <v>0.8285714285714294</v>
          </cell>
        </row>
        <row r="34">
          <cell r="E34">
            <v>0</v>
          </cell>
          <cell r="H34">
            <v>5.0000000000000044E-2</v>
          </cell>
          <cell r="K34">
            <v>0.31868131868131899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0.19000000000000017</v>
          </cell>
          <cell r="K37">
            <v>0.19120879120879142</v>
          </cell>
        </row>
        <row r="38">
          <cell r="E38">
            <v>0</v>
          </cell>
          <cell r="H38">
            <v>0.5900000000000003</v>
          </cell>
          <cell r="K38">
            <v>6.3736263736263801E-2</v>
          </cell>
        </row>
        <row r="39">
          <cell r="E39">
            <v>0</v>
          </cell>
          <cell r="H39">
            <v>0</v>
          </cell>
          <cell r="K39">
            <v>2.2307692307692317</v>
          </cell>
        </row>
        <row r="40">
          <cell r="E40">
            <v>0</v>
          </cell>
          <cell r="H40">
            <v>4.0000000000000036E-2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0.28000000000000025</v>
          </cell>
          <cell r="K50">
            <v>1.1472527472527485</v>
          </cell>
        </row>
      </sheetData>
      <sheetData sheetId="4" refreshError="1"/>
      <sheetData sheetId="5">
        <row r="8">
          <cell r="N8">
            <v>31.422924392444706</v>
          </cell>
        </row>
        <row r="9">
          <cell r="N9">
            <v>13.12684144089782</v>
          </cell>
        </row>
        <row r="10">
          <cell r="N10">
            <v>5.6501749600846161</v>
          </cell>
        </row>
        <row r="11">
          <cell r="N11">
            <v>1.0198861505683552</v>
          </cell>
        </row>
        <row r="12">
          <cell r="N12">
            <v>4.877793547467757</v>
          </cell>
        </row>
        <row r="13">
          <cell r="N13">
            <v>8.9620048155475924</v>
          </cell>
        </row>
        <row r="14">
          <cell r="N14">
            <v>14.298398263817775</v>
          </cell>
        </row>
        <row r="15">
          <cell r="N15">
            <v>3.5985901301680205</v>
          </cell>
        </row>
        <row r="16">
          <cell r="N16">
            <v>4.5928710490846729</v>
          </cell>
        </row>
        <row r="17">
          <cell r="N17">
            <v>3.0035029267709854</v>
          </cell>
        </row>
        <row r="18">
          <cell r="N18">
            <v>2.7019669949782719</v>
          </cell>
        </row>
        <row r="19">
          <cell r="N19">
            <v>4.3330867123552066E-2</v>
          </cell>
        </row>
        <row r="20">
          <cell r="N20">
            <v>6.7017144610458708</v>
          </cell>
        </row>
        <row r="32">
          <cell r="N32">
            <v>1.7695333948973389</v>
          </cell>
        </row>
        <row r="33">
          <cell r="N33">
            <v>8.5157161952159708</v>
          </cell>
        </row>
        <row r="34">
          <cell r="N34">
            <v>0.9904099026831118</v>
          </cell>
        </row>
        <row r="35">
          <cell r="N35">
            <v>1.2241493515933433</v>
          </cell>
        </row>
        <row r="36">
          <cell r="N36">
            <v>0.62703259650805521</v>
          </cell>
        </row>
        <row r="37">
          <cell r="N37">
            <v>2.7493522340697112</v>
          </cell>
        </row>
        <row r="38">
          <cell r="N38">
            <v>2.3486943803054143</v>
          </cell>
        </row>
        <row r="39">
          <cell r="N39">
            <v>0.55212834570949088</v>
          </cell>
        </row>
        <row r="43">
          <cell r="N43">
            <v>4.877793547467757</v>
          </cell>
        </row>
        <row r="44">
          <cell r="N44">
            <v>3.6258547074769689</v>
          </cell>
        </row>
        <row r="45">
          <cell r="N45">
            <v>5.3361501080706217</v>
          </cell>
        </row>
        <row r="46">
          <cell r="N46">
            <v>6.3344416672417703</v>
          </cell>
        </row>
        <row r="47">
          <cell r="N47">
            <v>2.0285620377265947</v>
          </cell>
        </row>
        <row r="48">
          <cell r="N48">
            <v>0.60036356129572066</v>
          </cell>
        </row>
        <row r="49">
          <cell r="N49">
            <v>4.1465162064059955</v>
          </cell>
        </row>
        <row r="50">
          <cell r="N50">
            <v>1.1885147911476959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STO-A15-PB-BAN</v>
          </cell>
        </row>
        <row r="6">
          <cell r="D6" t="str">
            <v>CL 437 SW - EPINAY SUR SEINE</v>
          </cell>
        </row>
        <row r="8">
          <cell r="D8" t="str">
            <v>SAINT OUEN</v>
          </cell>
        </row>
        <row r="12">
          <cell r="B12">
            <v>42264</v>
          </cell>
          <cell r="E12" t="str">
            <v>9H20</v>
          </cell>
        </row>
        <row r="15">
          <cell r="E15" t="str">
            <v>nuageux</v>
          </cell>
        </row>
        <row r="19">
          <cell r="G19">
            <v>125.1</v>
          </cell>
        </row>
        <row r="26">
          <cell r="H26">
            <v>0.5</v>
          </cell>
        </row>
        <row r="51">
          <cell r="D51">
            <v>0.34580335731414863</v>
          </cell>
        </row>
      </sheetData>
      <sheetData sheetId="1" refreshError="1"/>
      <sheetData sheetId="2">
        <row r="27">
          <cell r="C27">
            <v>2.0200000000000005</v>
          </cell>
          <cell r="D27">
            <v>3.4800000000000004</v>
          </cell>
        </row>
      </sheetData>
      <sheetData sheetId="3">
        <row r="5">
          <cell r="E5">
            <v>0</v>
          </cell>
          <cell r="H5">
            <v>0.13000000000000012</v>
          </cell>
          <cell r="K5">
            <v>1.9995373665480425</v>
          </cell>
        </row>
        <row r="6">
          <cell r="E6">
            <v>0</v>
          </cell>
          <cell r="H6">
            <v>0</v>
          </cell>
          <cell r="K6">
            <v>0.96274021352313155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0</v>
          </cell>
          <cell r="K8">
            <v>0</v>
          </cell>
        </row>
        <row r="9">
          <cell r="E9">
            <v>0</v>
          </cell>
          <cell r="H9">
            <v>0</v>
          </cell>
          <cell r="K9">
            <v>0</v>
          </cell>
        </row>
        <row r="10">
          <cell r="E10">
            <v>0</v>
          </cell>
          <cell r="H10">
            <v>9.000000000000008E-2</v>
          </cell>
          <cell r="K10">
            <v>0.37028469750889681</v>
          </cell>
        </row>
        <row r="11">
          <cell r="E11">
            <v>0</v>
          </cell>
          <cell r="H11">
            <v>0.77</v>
          </cell>
          <cell r="K11">
            <v>1.1108540925266912</v>
          </cell>
        </row>
        <row r="12">
          <cell r="E12">
            <v>0</v>
          </cell>
          <cell r="H12">
            <v>1.0700000000000003</v>
          </cell>
          <cell r="K12">
            <v>0.37028469750889709</v>
          </cell>
        </row>
        <row r="13">
          <cell r="E13">
            <v>0</v>
          </cell>
          <cell r="H13">
            <v>0.13000000000000012</v>
          </cell>
          <cell r="K13">
            <v>2.2957651245551602</v>
          </cell>
        </row>
        <row r="14">
          <cell r="E14">
            <v>0</v>
          </cell>
          <cell r="H14">
            <v>0.29000000000000004</v>
          </cell>
          <cell r="K14">
            <v>7.4056939501779426E-2</v>
          </cell>
        </row>
        <row r="15">
          <cell r="E15">
            <v>0</v>
          </cell>
          <cell r="H15">
            <v>1.4700000000000002</v>
          </cell>
          <cell r="K15">
            <v>3.4806761565836308</v>
          </cell>
        </row>
        <row r="16">
          <cell r="E16">
            <v>0.89</v>
          </cell>
          <cell r="H16">
            <v>1.1499999999999999</v>
          </cell>
          <cell r="K16">
            <v>0</v>
          </cell>
        </row>
        <row r="17">
          <cell r="E17">
            <v>0</v>
          </cell>
          <cell r="H17">
            <v>1.25</v>
          </cell>
          <cell r="K17">
            <v>0</v>
          </cell>
        </row>
        <row r="18">
          <cell r="E18">
            <v>0</v>
          </cell>
          <cell r="H18">
            <v>0.69</v>
          </cell>
          <cell r="K18">
            <v>1.25896797153025</v>
          </cell>
        </row>
        <row r="19">
          <cell r="E19">
            <v>0</v>
          </cell>
          <cell r="H19">
            <v>0.13000000000000012</v>
          </cell>
          <cell r="K19">
            <v>2.2957651245551602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2.06</v>
          </cell>
          <cell r="H22">
            <v>1.35</v>
          </cell>
          <cell r="K22">
            <v>0.81462633451957356</v>
          </cell>
        </row>
        <row r="23">
          <cell r="E23">
            <v>0</v>
          </cell>
          <cell r="H23">
            <v>1.0000000000000009E-2</v>
          </cell>
          <cell r="K23">
            <v>3.9250177935943076</v>
          </cell>
        </row>
        <row r="24">
          <cell r="E24">
            <v>0</v>
          </cell>
          <cell r="H24">
            <v>3.0000000000000027E-2</v>
          </cell>
          <cell r="K24">
            <v>3.7769039145907488</v>
          </cell>
        </row>
        <row r="25">
          <cell r="E25">
            <v>0</v>
          </cell>
          <cell r="H25">
            <v>6.99</v>
          </cell>
          <cell r="K25">
            <v>1.1108540925266912</v>
          </cell>
        </row>
        <row r="26">
          <cell r="E26">
            <v>0</v>
          </cell>
          <cell r="H26">
            <v>1.4000000000000004</v>
          </cell>
          <cell r="K26">
            <v>2.8882206405693958</v>
          </cell>
        </row>
        <row r="27">
          <cell r="E27">
            <v>0.14000000000000001</v>
          </cell>
          <cell r="H27">
            <v>0.31000000000000005</v>
          </cell>
          <cell r="K27">
            <v>0.22217081850533826</v>
          </cell>
        </row>
        <row r="28">
          <cell r="E28">
            <v>0</v>
          </cell>
          <cell r="H28">
            <v>0.87000000000000011</v>
          </cell>
          <cell r="K28">
            <v>1.25896797153025</v>
          </cell>
        </row>
        <row r="29">
          <cell r="E29">
            <v>10.459999999999999</v>
          </cell>
          <cell r="H29">
            <v>1.33</v>
          </cell>
          <cell r="K29">
            <v>1.407081850533809</v>
          </cell>
        </row>
        <row r="30">
          <cell r="E30">
            <v>0</v>
          </cell>
          <cell r="H30">
            <v>0.35000000000000009</v>
          </cell>
          <cell r="K30">
            <v>1.9995373665480425</v>
          </cell>
        </row>
        <row r="31">
          <cell r="E31">
            <v>0</v>
          </cell>
          <cell r="H31">
            <v>0.43000000000000016</v>
          </cell>
          <cell r="K31">
            <v>6.1467259786476873</v>
          </cell>
        </row>
        <row r="32">
          <cell r="E32">
            <v>0</v>
          </cell>
          <cell r="H32">
            <v>0</v>
          </cell>
          <cell r="K32">
            <v>7.4056939501779426E-2</v>
          </cell>
        </row>
        <row r="33">
          <cell r="E33">
            <v>0</v>
          </cell>
          <cell r="H33">
            <v>0.37000000000000011</v>
          </cell>
          <cell r="K33">
            <v>1.8514234875444839</v>
          </cell>
        </row>
        <row r="34">
          <cell r="E34">
            <v>0</v>
          </cell>
          <cell r="H34">
            <v>5.0000000000000044E-2</v>
          </cell>
          <cell r="K34">
            <v>0.37028469750889709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0.4887758007117437</v>
          </cell>
        </row>
        <row r="37">
          <cell r="E37">
            <v>0</v>
          </cell>
          <cell r="H37">
            <v>0.21000000000000019</v>
          </cell>
          <cell r="K37">
            <v>0</v>
          </cell>
        </row>
        <row r="38">
          <cell r="E38">
            <v>0.4</v>
          </cell>
          <cell r="H38">
            <v>0</v>
          </cell>
          <cell r="K38">
            <v>0</v>
          </cell>
        </row>
        <row r="39">
          <cell r="E39">
            <v>0</v>
          </cell>
          <cell r="H39">
            <v>0</v>
          </cell>
          <cell r="K39">
            <v>0</v>
          </cell>
        </row>
        <row r="40">
          <cell r="E40">
            <v>0</v>
          </cell>
          <cell r="H40">
            <v>0</v>
          </cell>
          <cell r="K40">
            <v>7.4056939501779351E-3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0.41471886120996437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0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0.20000000000000018</v>
          </cell>
          <cell r="K50">
            <v>1.0367971530249118</v>
          </cell>
        </row>
      </sheetData>
      <sheetData sheetId="4" refreshError="1"/>
      <sheetData sheetId="5">
        <row r="8">
          <cell r="N8">
            <v>8.5284843409244075</v>
          </cell>
        </row>
        <row r="9">
          <cell r="N9">
            <v>7.3840441317509553</v>
          </cell>
        </row>
        <row r="10">
          <cell r="N10">
            <v>9.2619499857249394</v>
          </cell>
        </row>
        <row r="11">
          <cell r="N11">
            <v>6.1849843914138143</v>
          </cell>
        </row>
        <row r="12">
          <cell r="N12">
            <v>4.7412744376747638</v>
          </cell>
        </row>
        <row r="13">
          <cell r="N13">
            <v>8.9804909456383317</v>
          </cell>
        </row>
        <row r="14">
          <cell r="N14">
            <v>35.952175836181425</v>
          </cell>
        </row>
        <row r="15">
          <cell r="N15">
            <v>2.693113187392965</v>
          </cell>
        </row>
        <row r="16">
          <cell r="N16">
            <v>7.4492938014003913</v>
          </cell>
        </row>
        <row r="17">
          <cell r="N17">
            <v>4.3277963074511669</v>
          </cell>
        </row>
        <row r="18">
          <cell r="N18">
            <v>0</v>
          </cell>
        </row>
        <row r="19">
          <cell r="N19">
            <v>0.4827971852447232</v>
          </cell>
        </row>
        <row r="20">
          <cell r="N20">
            <v>4.0135954492021142</v>
          </cell>
        </row>
        <row r="32">
          <cell r="N32">
            <v>0.53146201115910918</v>
          </cell>
        </row>
        <row r="33">
          <cell r="N33">
            <v>2.0970930652672259</v>
          </cell>
        </row>
        <row r="34">
          <cell r="N34">
            <v>1.6058720679916592</v>
          </cell>
        </row>
        <row r="35">
          <cell r="N35">
            <v>2.7310231583465394</v>
          </cell>
        </row>
        <row r="36">
          <cell r="N36">
            <v>0.41859382898642256</v>
          </cell>
        </row>
        <row r="37">
          <cell r="N37">
            <v>5.544650533775954</v>
          </cell>
        </row>
        <row r="38">
          <cell r="N38">
            <v>2.2874731246518363</v>
          </cell>
        </row>
        <row r="39">
          <cell r="N39">
            <v>1.4298263272971494</v>
          </cell>
        </row>
        <row r="43">
          <cell r="N43">
            <v>4.7412744376747638</v>
          </cell>
        </row>
        <row r="44">
          <cell r="N44">
            <v>4.6082282851935954</v>
          </cell>
        </row>
        <row r="45">
          <cell r="N45">
            <v>4.3722626604447363</v>
          </cell>
        </row>
        <row r="46">
          <cell r="N46">
            <v>10.458001468601264</v>
          </cell>
        </row>
        <row r="47">
          <cell r="N47">
            <v>4.9458500506806375</v>
          </cell>
        </row>
        <row r="48">
          <cell r="N48">
            <v>0.77506839511415626</v>
          </cell>
        </row>
        <row r="49">
          <cell r="N49">
            <v>2.7463750698119425</v>
          </cell>
        </row>
        <row r="50">
          <cell r="N50">
            <v>17.026880851973427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1 _ Echant et Séchage"/>
      <sheetName val="F2_hétéroclites primaires"/>
      <sheetName val="F 3 _ Criblage et Tri"/>
      <sheetName val="F 4 TRI _ Granulo"/>
      <sheetName val="F5_synthèse "/>
      <sheetName val="Calcul sous cat &gt;20"/>
    </sheetNames>
    <sheetDataSet>
      <sheetData sheetId="0">
        <row r="5">
          <cell r="D5" t="str">
            <v>STO-A15-PB-PAR</v>
          </cell>
        </row>
        <row r="6">
          <cell r="D6" t="str">
            <v>917 QCA 75</v>
          </cell>
        </row>
        <row r="8">
          <cell r="D8" t="str">
            <v>Saint Ouen</v>
          </cell>
        </row>
        <row r="12">
          <cell r="B12">
            <v>42264</v>
          </cell>
          <cell r="E12" t="str">
            <v>8H15</v>
          </cell>
        </row>
        <row r="15">
          <cell r="E15" t="str">
            <v>humide, nuageux</v>
          </cell>
        </row>
        <row r="19">
          <cell r="G19">
            <v>127</v>
          </cell>
        </row>
        <row r="26">
          <cell r="H26">
            <v>0.6</v>
          </cell>
        </row>
        <row r="51">
          <cell r="D51">
            <v>0.30829921259842541</v>
          </cell>
        </row>
      </sheetData>
      <sheetData sheetId="1" refreshError="1"/>
      <sheetData sheetId="2">
        <row r="27">
          <cell r="C27">
            <v>4.28</v>
          </cell>
          <cell r="D27">
            <v>4.66</v>
          </cell>
        </row>
      </sheetData>
      <sheetData sheetId="3">
        <row r="5">
          <cell r="E5">
            <v>0</v>
          </cell>
          <cell r="H5">
            <v>1.0000000000000009E-2</v>
          </cell>
          <cell r="K5">
            <v>2.6304705882352946</v>
          </cell>
        </row>
        <row r="6">
          <cell r="E6">
            <v>0</v>
          </cell>
          <cell r="H6">
            <v>0.21000000000000019</v>
          </cell>
          <cell r="K6">
            <v>3.1747058823529417</v>
          </cell>
        </row>
        <row r="7">
          <cell r="E7">
            <v>0</v>
          </cell>
          <cell r="H7">
            <v>0</v>
          </cell>
          <cell r="K7">
            <v>0</v>
          </cell>
        </row>
        <row r="8">
          <cell r="E8">
            <v>0</v>
          </cell>
          <cell r="H8">
            <v>1.0000000000000009E-2</v>
          </cell>
          <cell r="K8">
            <v>0</v>
          </cell>
        </row>
        <row r="9">
          <cell r="E9">
            <v>0</v>
          </cell>
          <cell r="H9">
            <v>1.0000000000000009E-2</v>
          </cell>
          <cell r="K9">
            <v>0</v>
          </cell>
        </row>
        <row r="10">
          <cell r="E10">
            <v>0</v>
          </cell>
          <cell r="H10">
            <v>0.89000000000000012</v>
          </cell>
          <cell r="K10">
            <v>0.2721176470588238</v>
          </cell>
        </row>
        <row r="11">
          <cell r="E11">
            <v>0</v>
          </cell>
          <cell r="H11">
            <v>4.4499999999999993</v>
          </cell>
          <cell r="K11">
            <v>0.99776470588235378</v>
          </cell>
        </row>
        <row r="12">
          <cell r="E12">
            <v>0</v>
          </cell>
          <cell r="H12">
            <v>0.5900000000000003</v>
          </cell>
          <cell r="K12">
            <v>0</v>
          </cell>
        </row>
        <row r="13">
          <cell r="E13">
            <v>0</v>
          </cell>
          <cell r="H13">
            <v>1.0100000000000002</v>
          </cell>
          <cell r="K13">
            <v>1.5420000000000014</v>
          </cell>
        </row>
        <row r="14">
          <cell r="E14">
            <v>0</v>
          </cell>
          <cell r="H14">
            <v>1.67</v>
          </cell>
          <cell r="K14">
            <v>1.723411764705884</v>
          </cell>
        </row>
        <row r="15">
          <cell r="E15">
            <v>0</v>
          </cell>
          <cell r="H15">
            <v>0.87000000000000011</v>
          </cell>
          <cell r="K15">
            <v>2.4490588235294117</v>
          </cell>
        </row>
        <row r="16">
          <cell r="E16">
            <v>3.2200000000000006</v>
          </cell>
          <cell r="H16">
            <v>1.0100000000000002</v>
          </cell>
          <cell r="K16">
            <v>9.0705882352941261E-2</v>
          </cell>
        </row>
        <row r="17">
          <cell r="E17">
            <v>0</v>
          </cell>
          <cell r="H17">
            <v>5.0000000000000044E-2</v>
          </cell>
          <cell r="K17">
            <v>1.1791764705882364</v>
          </cell>
        </row>
        <row r="18">
          <cell r="E18">
            <v>0</v>
          </cell>
          <cell r="H18">
            <v>7.0000000000000062E-2</v>
          </cell>
          <cell r="K18">
            <v>0</v>
          </cell>
        </row>
        <row r="19">
          <cell r="E19">
            <v>0</v>
          </cell>
          <cell r="H19">
            <v>0.17000000000000015</v>
          </cell>
          <cell r="K19">
            <v>0.45352941176470629</v>
          </cell>
        </row>
        <row r="20">
          <cell r="E20">
            <v>0</v>
          </cell>
          <cell r="H20">
            <v>0</v>
          </cell>
          <cell r="K20">
            <v>0</v>
          </cell>
        </row>
        <row r="21">
          <cell r="E21">
            <v>0</v>
          </cell>
          <cell r="H21">
            <v>0</v>
          </cell>
          <cell r="K21">
            <v>0</v>
          </cell>
        </row>
        <row r="22">
          <cell r="E22">
            <v>2.2999999999999998</v>
          </cell>
          <cell r="H22">
            <v>7.0000000000000062E-2</v>
          </cell>
          <cell r="K22">
            <v>0.63494117647058879</v>
          </cell>
        </row>
        <row r="23">
          <cell r="E23">
            <v>0</v>
          </cell>
          <cell r="H23">
            <v>0.1100000000000001</v>
          </cell>
          <cell r="K23">
            <v>4.2631764705882373</v>
          </cell>
        </row>
        <row r="24">
          <cell r="E24">
            <v>0</v>
          </cell>
          <cell r="H24">
            <v>0.15000000000000013</v>
          </cell>
          <cell r="K24">
            <v>5.1702352941176501</v>
          </cell>
        </row>
        <row r="25">
          <cell r="E25">
            <v>0</v>
          </cell>
          <cell r="H25">
            <v>5.75</v>
          </cell>
          <cell r="K25">
            <v>0.99776470588235378</v>
          </cell>
        </row>
        <row r="26">
          <cell r="E26">
            <v>0</v>
          </cell>
          <cell r="H26">
            <v>0.79</v>
          </cell>
          <cell r="K26">
            <v>1.5420000000000014</v>
          </cell>
        </row>
        <row r="27">
          <cell r="E27">
            <v>0.08</v>
          </cell>
          <cell r="H27">
            <v>0.27</v>
          </cell>
          <cell r="K27">
            <v>0.45352941176470629</v>
          </cell>
        </row>
        <row r="28">
          <cell r="E28">
            <v>0.26</v>
          </cell>
          <cell r="H28">
            <v>0.57000000000000028</v>
          </cell>
          <cell r="K28">
            <v>3.1747058823529417</v>
          </cell>
        </row>
        <row r="29">
          <cell r="E29">
            <v>0.16</v>
          </cell>
          <cell r="H29">
            <v>0.85000000000000009</v>
          </cell>
          <cell r="K29">
            <v>1.723411764705884</v>
          </cell>
        </row>
        <row r="30">
          <cell r="E30">
            <v>2.2400000000000002</v>
          </cell>
          <cell r="H30">
            <v>1.4900000000000002</v>
          </cell>
          <cell r="K30">
            <v>9.0705882352941261E-2</v>
          </cell>
        </row>
        <row r="31">
          <cell r="E31">
            <v>0</v>
          </cell>
          <cell r="H31">
            <v>2.0500000000000003</v>
          </cell>
          <cell r="K31">
            <v>3.5375294117647074</v>
          </cell>
        </row>
        <row r="32">
          <cell r="E32">
            <v>0</v>
          </cell>
          <cell r="H32">
            <v>0</v>
          </cell>
          <cell r="K32">
            <v>0</v>
          </cell>
        </row>
        <row r="33">
          <cell r="E33">
            <v>0</v>
          </cell>
          <cell r="H33">
            <v>0.31000000000000005</v>
          </cell>
          <cell r="K33">
            <v>1.360588235294119</v>
          </cell>
        </row>
        <row r="34">
          <cell r="E34">
            <v>0</v>
          </cell>
          <cell r="H34">
            <v>1.0000000000000009E-2</v>
          </cell>
          <cell r="K34">
            <v>0.2721176470588238</v>
          </cell>
        </row>
        <row r="35">
          <cell r="E35">
            <v>0</v>
          </cell>
          <cell r="H35">
            <v>0</v>
          </cell>
          <cell r="K35">
            <v>0</v>
          </cell>
        </row>
        <row r="36">
          <cell r="E36">
            <v>0</v>
          </cell>
          <cell r="H36">
            <v>0</v>
          </cell>
          <cell r="K36">
            <v>0</v>
          </cell>
        </row>
        <row r="37">
          <cell r="E37">
            <v>0</v>
          </cell>
          <cell r="H37">
            <v>7.0000000000000062E-2</v>
          </cell>
          <cell r="K37">
            <v>9.0705882352941261E-2</v>
          </cell>
        </row>
        <row r="38">
          <cell r="E38">
            <v>0.08</v>
          </cell>
          <cell r="H38">
            <v>0</v>
          </cell>
          <cell r="K38">
            <v>0.2721176470588238</v>
          </cell>
        </row>
        <row r="39">
          <cell r="E39">
            <v>0</v>
          </cell>
          <cell r="H39">
            <v>0.75</v>
          </cell>
          <cell r="K39">
            <v>3.7189411764705897</v>
          </cell>
        </row>
        <row r="40">
          <cell r="E40">
            <v>0</v>
          </cell>
          <cell r="H40">
            <v>0</v>
          </cell>
          <cell r="K40">
            <v>0</v>
          </cell>
        </row>
        <row r="41">
          <cell r="E41">
            <v>0</v>
          </cell>
          <cell r="H41">
            <v>0</v>
          </cell>
          <cell r="K41">
            <v>0</v>
          </cell>
        </row>
        <row r="42">
          <cell r="E42">
            <v>0</v>
          </cell>
          <cell r="H42">
            <v>0</v>
          </cell>
          <cell r="K42">
            <v>1.0884705882352932</v>
          </cell>
        </row>
        <row r="43">
          <cell r="E43">
            <v>0</v>
          </cell>
          <cell r="H43">
            <v>0</v>
          </cell>
          <cell r="K43">
            <v>0</v>
          </cell>
        </row>
        <row r="44">
          <cell r="E44">
            <v>0</v>
          </cell>
          <cell r="H44">
            <v>0</v>
          </cell>
          <cell r="K44">
            <v>0</v>
          </cell>
        </row>
        <row r="45">
          <cell r="E45">
            <v>0</v>
          </cell>
          <cell r="H45">
            <v>0</v>
          </cell>
          <cell r="K45">
            <v>0</v>
          </cell>
        </row>
        <row r="46">
          <cell r="E46">
            <v>0</v>
          </cell>
          <cell r="H46">
            <v>0</v>
          </cell>
          <cell r="K46">
            <v>0</v>
          </cell>
        </row>
        <row r="47">
          <cell r="E47">
            <v>0</v>
          </cell>
          <cell r="H47">
            <v>0</v>
          </cell>
          <cell r="K47">
            <v>0</v>
          </cell>
        </row>
        <row r="48">
          <cell r="E48">
            <v>0</v>
          </cell>
          <cell r="H48">
            <v>0</v>
          </cell>
          <cell r="K48">
            <v>2.7211764705882358</v>
          </cell>
        </row>
        <row r="49">
          <cell r="E49">
            <v>0</v>
          </cell>
          <cell r="H49">
            <v>0</v>
          </cell>
          <cell r="K49">
            <v>0</v>
          </cell>
        </row>
        <row r="50">
          <cell r="E50">
            <v>0</v>
          </cell>
          <cell r="H50">
            <v>0.60000000000000009</v>
          </cell>
          <cell r="K50">
            <v>1.8141176470588252</v>
          </cell>
        </row>
      </sheetData>
      <sheetData sheetId="4" refreshError="1"/>
      <sheetData sheetId="5">
        <row r="8">
          <cell r="N8">
            <v>15.314863796158114</v>
          </cell>
        </row>
        <row r="9">
          <cell r="N9">
            <v>13.647090818491169</v>
          </cell>
        </row>
        <row r="10">
          <cell r="N10">
            <v>9.2085187450113057</v>
          </cell>
        </row>
        <row r="11">
          <cell r="N11">
            <v>0.90643243074044189</v>
          </cell>
        </row>
        <row r="12">
          <cell r="N12">
            <v>3.1176395978260558</v>
          </cell>
        </row>
        <row r="13">
          <cell r="N13">
            <v>10.333982193910934</v>
          </cell>
        </row>
        <row r="14">
          <cell r="N14">
            <v>19.455648932103681</v>
          </cell>
        </row>
        <row r="15">
          <cell r="N15">
            <v>4.0480184319202728</v>
          </cell>
        </row>
        <row r="16">
          <cell r="N16">
            <v>5.7911118368139212</v>
          </cell>
        </row>
        <row r="17">
          <cell r="N17">
            <v>2.6383396385836555</v>
          </cell>
        </row>
        <row r="18">
          <cell r="N18">
            <v>5.2883464426231779</v>
          </cell>
        </row>
        <row r="19">
          <cell r="N19">
            <v>4.0317391580352826</v>
          </cell>
        </row>
        <row r="20">
          <cell r="N20">
            <v>6.2182679777819958</v>
          </cell>
        </row>
        <row r="32">
          <cell r="N32">
            <v>1.2312450291678732</v>
          </cell>
        </row>
        <row r="33">
          <cell r="N33">
            <v>5.5829532806900266</v>
          </cell>
        </row>
        <row r="34">
          <cell r="N34">
            <v>0.60464109840324154</v>
          </cell>
        </row>
        <row r="35">
          <cell r="N35">
            <v>2.6414688357237583</v>
          </cell>
        </row>
        <row r="36">
          <cell r="N36">
            <v>3.5867825745062696</v>
          </cell>
        </row>
        <row r="37">
          <cell r="N37">
            <v>3.4349249860520232</v>
          </cell>
        </row>
        <row r="38">
          <cell r="N38">
            <v>4.4745323291906072</v>
          </cell>
        </row>
        <row r="39">
          <cell r="N39">
            <v>1.2990614297686751</v>
          </cell>
        </row>
        <row r="43">
          <cell r="N43">
            <v>3.1176395978260558</v>
          </cell>
        </row>
        <row r="44">
          <cell r="N44">
            <v>4.6904006786279338</v>
          </cell>
        </row>
        <row r="45">
          <cell r="N45">
            <v>5.6435815152829996</v>
          </cell>
        </row>
        <row r="46">
          <cell r="N46">
            <v>8.0609040254068347</v>
          </cell>
        </row>
        <row r="47">
          <cell r="N47">
            <v>2.4904757979417251</v>
          </cell>
        </row>
        <row r="48">
          <cell r="N48">
            <v>0.85801993256409614</v>
          </cell>
        </row>
        <row r="49">
          <cell r="N49">
            <v>4.782008491501756</v>
          </cell>
        </row>
        <row r="50">
          <cell r="N50">
            <v>3.2642406846892693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 H12 PB BAN"/>
      <sheetName val="ISS H12 PB PAR"/>
      <sheetName val="IVR H12 Pb PAR"/>
      <sheetName val="IVR H12 PB BAN"/>
      <sheetName val="ROM H12 PB BAN"/>
      <sheetName val="ROM H12 PB PAR"/>
      <sheetName val="STO H12 PB PAR"/>
      <sheetName val="STO H12 PB BAN"/>
      <sheetName val="Synthèse PB"/>
      <sheetName val="ISS H12 PC Ban"/>
      <sheetName val="ISS H12 PC PAR"/>
      <sheetName val="IVR H12 PC BAN"/>
      <sheetName val="IVR H12 PC PAR"/>
      <sheetName val="STO H12 PC BAN"/>
      <sheetName val="STO H12 PC PAR"/>
      <sheetName val="ROM H12 PC BAN"/>
      <sheetName val="ROM H12 PC PAR"/>
      <sheetName val="Synthèse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8">
          <cell r="B68" t="str">
            <v>Déchets Putrescibles</v>
          </cell>
        </row>
        <row r="69">
          <cell r="B69" t="str">
            <v>Papiers</v>
          </cell>
        </row>
        <row r="70">
          <cell r="B70" t="str">
            <v>Cartons</v>
          </cell>
        </row>
        <row r="71">
          <cell r="B71" t="str">
            <v>Composites</v>
          </cell>
        </row>
        <row r="72">
          <cell r="B72" t="str">
            <v xml:space="preserve">Textiles </v>
          </cell>
        </row>
        <row r="73">
          <cell r="B73" t="str">
            <v>Textiles sanitaires</v>
          </cell>
        </row>
        <row r="74">
          <cell r="B74" t="str">
            <v>Plastiques</v>
          </cell>
        </row>
        <row r="75">
          <cell r="B75" t="str">
            <v>Combustibles non classés</v>
          </cell>
        </row>
        <row r="76">
          <cell r="B76" t="str">
            <v>Verre</v>
          </cell>
        </row>
        <row r="77">
          <cell r="B77" t="str">
            <v>Métaux</v>
          </cell>
        </row>
        <row r="78">
          <cell r="B78" t="str">
            <v>Incombustibles non classés</v>
          </cell>
        </row>
        <row r="79">
          <cell r="B79" t="str">
            <v>Déchets ménagers spéciaux</v>
          </cell>
        </row>
        <row r="80">
          <cell r="B80" t="str">
            <v>Eléments fins &lt; 20 mm</v>
          </cell>
        </row>
        <row r="84">
          <cell r="B84" t="str">
            <v>Déchets Putrescibles</v>
          </cell>
        </row>
        <row r="85">
          <cell r="B85" t="str">
            <v>Papiers</v>
          </cell>
        </row>
        <row r="86">
          <cell r="B86" t="str">
            <v>Cartons</v>
          </cell>
        </row>
        <row r="87">
          <cell r="B87" t="str">
            <v>Composites</v>
          </cell>
        </row>
        <row r="88">
          <cell r="B88" t="str">
            <v xml:space="preserve">Textiles </v>
          </cell>
        </row>
        <row r="89">
          <cell r="B89" t="str">
            <v>Textiles sanitaires</v>
          </cell>
        </row>
        <row r="90">
          <cell r="B90" t="str">
            <v>Plastiques</v>
          </cell>
        </row>
        <row r="91">
          <cell r="B91" t="str">
            <v>Combustibles non classés</v>
          </cell>
        </row>
        <row r="92">
          <cell r="B92" t="str">
            <v>Verre</v>
          </cell>
        </row>
        <row r="93">
          <cell r="B93" t="str">
            <v>Métaux</v>
          </cell>
        </row>
        <row r="94">
          <cell r="B94" t="str">
            <v>Incombustibles non classés</v>
          </cell>
        </row>
        <row r="95">
          <cell r="B95" t="str">
            <v>Déchets ménagers spéciaux</v>
          </cell>
        </row>
        <row r="96">
          <cell r="B96" t="str">
            <v>Eléments fins &lt; 20 mm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L16" sqref="L16"/>
    </sheetView>
  </sheetViews>
  <sheetFormatPr baseColWidth="10" defaultRowHeight="15" x14ac:dyDescent="0.25"/>
  <cols>
    <col min="1" max="1" width="18.28515625" customWidth="1"/>
    <col min="2" max="2" width="30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336" t="str">
        <f>'[1]F 1 _ Echant et Séchage'!D5</f>
        <v>ISS-A15-PB-BAN</v>
      </c>
      <c r="C2" s="336"/>
      <c r="D2" s="336"/>
      <c r="E2" s="336"/>
      <c r="F2" s="336"/>
      <c r="G2" s="2"/>
      <c r="H2" s="2"/>
      <c r="I2" s="2"/>
      <c r="J2" s="2"/>
    </row>
    <row r="3" spans="1:10" s="1" customFormat="1" ht="12.75" x14ac:dyDescent="0.2">
      <c r="A3" s="1" t="s">
        <v>1</v>
      </c>
      <c r="B3" s="343" t="str">
        <f>'[1]F 1 _ Echant et Séchage'!D6</f>
        <v>CK 947 YE - BOULOGNE</v>
      </c>
      <c r="C3" s="343"/>
      <c r="D3" s="343"/>
      <c r="E3" s="343"/>
      <c r="F3" s="343"/>
      <c r="G3" s="3"/>
      <c r="H3" s="3"/>
      <c r="I3" s="3"/>
      <c r="J3" s="3"/>
    </row>
    <row r="4" spans="1:10" s="1" customFormat="1" ht="12.75" x14ac:dyDescent="0.2">
      <c r="A4" s="1" t="s">
        <v>2</v>
      </c>
      <c r="B4" s="250"/>
      <c r="C4" s="250" t="str">
        <f>'[1]F 1 _ Echant et Séchage'!D8</f>
        <v>ISSEANE</v>
      </c>
      <c r="D4" s="250"/>
      <c r="E4" s="250"/>
      <c r="F4" s="250"/>
      <c r="G4" s="3"/>
      <c r="H4" s="3"/>
      <c r="I4" s="3"/>
      <c r="J4" s="3"/>
    </row>
    <row r="5" spans="1:10" s="1" customFormat="1" ht="12.75" x14ac:dyDescent="0.2">
      <c r="A5" s="1" t="s">
        <v>3</v>
      </c>
      <c r="B5" s="250"/>
      <c r="C5" s="250" t="str">
        <f>'[1]F 1 _ Echant et Séchage'!E15</f>
        <v>pluvieux</v>
      </c>
      <c r="D5" s="250"/>
      <c r="E5" s="250"/>
      <c r="F5" s="250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'[1]F 1 _ Echant et Séchage'!B12</f>
        <v>42271</v>
      </c>
      <c r="D9" s="337" t="s">
        <v>6</v>
      </c>
      <c r="E9" s="337"/>
      <c r="F9" s="337"/>
      <c r="G9" s="6">
        <f>'[1]F 1 _ Echant et Séchage'!G19</f>
        <v>120.5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'[1]F 1 _ Echant et Séchage'!E12</f>
        <v>20H10</v>
      </c>
      <c r="D10" s="337" t="s">
        <v>9</v>
      </c>
      <c r="E10" s="337"/>
      <c r="F10" s="337"/>
      <c r="G10" s="250">
        <f>'[1]F 1 _ Echant et Séchage'!H26</f>
        <v>0.53</v>
      </c>
      <c r="H10" s="250"/>
      <c r="I10" s="9"/>
      <c r="J10" s="1" t="s">
        <v>10</v>
      </c>
    </row>
    <row r="11" spans="1:10" s="1" customFormat="1" ht="12.75" x14ac:dyDescent="0.2">
      <c r="B11" s="337"/>
      <c r="C11" s="337"/>
      <c r="D11" s="337" t="s">
        <v>11</v>
      </c>
      <c r="E11" s="337"/>
      <c r="F11" s="337"/>
      <c r="G11" s="10">
        <f>G9/1000/G10</f>
        <v>0.22735849056603771</v>
      </c>
      <c r="H11" s="10"/>
      <c r="I11" s="3"/>
      <c r="J11" s="3" t="s">
        <v>12</v>
      </c>
    </row>
    <row r="12" spans="1:10" s="1" customFormat="1" ht="12.75" x14ac:dyDescent="0.2">
      <c r="B12" s="7"/>
      <c r="D12" s="337" t="s">
        <v>13</v>
      </c>
      <c r="E12" s="337"/>
      <c r="F12" s="337"/>
      <c r="G12" s="231">
        <f>'[1]F 1 _ Echant et Séchage'!D51</f>
        <v>0.36448132780082987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s="1" customFormat="1" ht="15" customHeight="1" x14ac:dyDescent="0.2">
      <c r="A18" s="349" t="s">
        <v>26</v>
      </c>
      <c r="B18" s="18" t="s">
        <v>119</v>
      </c>
      <c r="C18" s="19">
        <f>'[1]F 4 TRI _ Granulo'!K5</f>
        <v>2.402857142857143</v>
      </c>
      <c r="D18" s="20">
        <f>'[1]F 4 TRI _ Granulo'!H5</f>
        <v>0.35000000000000009</v>
      </c>
      <c r="E18" s="20">
        <f>'[1]F 4 TRI _ Granulo'!E5</f>
        <v>0</v>
      </c>
      <c r="F18" s="20">
        <f>SUM(C18:E18)</f>
        <v>2.7528571428571431</v>
      </c>
      <c r="G18" s="21">
        <f t="shared" ref="G18:G64" si="0">F18/$F$64</f>
        <v>3.6636374006616214E-2</v>
      </c>
      <c r="H18" s="21">
        <f>G18*J18/I18</f>
        <v>8.3358377556122826E-2</v>
      </c>
      <c r="I18" s="344">
        <f>G18+G19+G20+G21+G22</f>
        <v>5.1218677516255369E-2</v>
      </c>
      <c r="J18" s="344">
        <f>'[1]Calcul sous cat &gt;20'!N8/100</f>
        <v>0.11653734776138812</v>
      </c>
    </row>
    <row r="19" spans="1:10" s="1" customFormat="1" ht="15" customHeight="1" x14ac:dyDescent="0.2">
      <c r="A19" s="350"/>
      <c r="B19" s="18" t="s">
        <v>27</v>
      </c>
      <c r="C19" s="19">
        <f>'[1]F 4 TRI _ Granulo'!K6</f>
        <v>0.41428571428571465</v>
      </c>
      <c r="D19" s="20">
        <f>'[1]F 4 TRI _ Granulo'!H6</f>
        <v>0.60999999999999988</v>
      </c>
      <c r="E19" s="20">
        <f>'[1]F 4 TRI _ Granulo'!E6</f>
        <v>0</v>
      </c>
      <c r="F19" s="20">
        <f>SUM(C19:E19)</f>
        <v>1.0242857142857145</v>
      </c>
      <c r="G19" s="21">
        <f t="shared" si="0"/>
        <v>1.363169702270048E-2</v>
      </c>
      <c r="H19" s="21">
        <f>G19*J18/I18</f>
        <v>3.1016064716004182E-2</v>
      </c>
      <c r="I19" s="344"/>
      <c r="J19" s="344"/>
    </row>
    <row r="20" spans="1:10" s="1" customFormat="1" ht="15" customHeight="1" x14ac:dyDescent="0.2">
      <c r="A20" s="350"/>
      <c r="B20" s="18" t="s">
        <v>28</v>
      </c>
      <c r="C20" s="19">
        <f>'[1]F 4 TRI _ Granulo'!K7</f>
        <v>0</v>
      </c>
      <c r="D20" s="20">
        <f>'[1]F 4 TRI _ Granulo'!H7</f>
        <v>0</v>
      </c>
      <c r="E20" s="20">
        <f>'[1]F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s="1" customFormat="1" ht="15" customHeight="1" x14ac:dyDescent="0.2">
      <c r="A21" s="350"/>
      <c r="B21" s="18" t="s">
        <v>29</v>
      </c>
      <c r="C21" s="19">
        <f>'[1]F 4 TRI _ Granulo'!K8</f>
        <v>4.1428571428572383E-2</v>
      </c>
      <c r="D21" s="20">
        <f>'[1]F 4 TRI _ Granulo'!H8</f>
        <v>3.0000000000000027E-2</v>
      </c>
      <c r="E21" s="20">
        <f>'[1]F 4 TRI _ Granulo'!E8</f>
        <v>0</v>
      </c>
      <c r="F21" s="20">
        <f t="shared" si="1"/>
        <v>7.142857142857241E-2</v>
      </c>
      <c r="G21" s="21">
        <f t="shared" si="0"/>
        <v>9.5060648693867959E-4</v>
      </c>
      <c r="H21" s="21">
        <f>G21*J18/I18</f>
        <v>2.16290548926113E-3</v>
      </c>
      <c r="I21" s="344"/>
      <c r="J21" s="344"/>
    </row>
    <row r="22" spans="1:10" s="1" customFormat="1" ht="15" customHeight="1" x14ac:dyDescent="0.2">
      <c r="A22" s="351"/>
      <c r="B22" s="18" t="s">
        <v>30</v>
      </c>
      <c r="C22" s="19">
        <f>'[1]F 4 TRI _ Granulo'!K9</f>
        <v>0</v>
      </c>
      <c r="D22" s="20">
        <f>'[1]F 4 TRI _ Granulo'!H9</f>
        <v>0</v>
      </c>
      <c r="E22" s="20">
        <f>'[1]F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344"/>
      <c r="J22" s="344"/>
    </row>
    <row r="23" spans="1:10" s="1" customFormat="1" ht="15" customHeight="1" x14ac:dyDescent="0.2">
      <c r="A23" s="345" t="s">
        <v>31</v>
      </c>
      <c r="B23" s="18" t="s">
        <v>32</v>
      </c>
      <c r="C23" s="19">
        <f>'[1]F 4 TRI _ Granulo'!K10</f>
        <v>0.41428571428571465</v>
      </c>
      <c r="D23" s="20">
        <f>'[1]F 4 TRI _ Granulo'!H10</f>
        <v>0.21000000000000019</v>
      </c>
      <c r="E23" s="20">
        <f>'[1]F 4 TRI _ Granulo'!E10</f>
        <v>0</v>
      </c>
      <c r="F23" s="20">
        <f t="shared" si="1"/>
        <v>0.62428571428571478</v>
      </c>
      <c r="G23" s="21">
        <f t="shared" si="0"/>
        <v>8.3083006958439513E-3</v>
      </c>
      <c r="H23" s="21">
        <f>'[1]Calcul sous cat &gt;20'!N32/100</f>
        <v>7.9103933711101252E-3</v>
      </c>
      <c r="I23" s="348">
        <f>G23+G24+G25+G26+G27</f>
        <v>0.16082360546028365</v>
      </c>
      <c r="J23" s="348">
        <f>'[1]Calcul sous cat &gt;20'!N9/100</f>
        <v>0.14986889814731152</v>
      </c>
    </row>
    <row r="24" spans="1:10" s="1" customFormat="1" ht="15" customHeight="1" x14ac:dyDescent="0.2">
      <c r="A24" s="346"/>
      <c r="B24" s="18" t="s">
        <v>33</v>
      </c>
      <c r="C24" s="19">
        <f>'[1]F 4 TRI _ Granulo'!K11</f>
        <v>0</v>
      </c>
      <c r="D24" s="20">
        <f>'[1]F 4 TRI _ Granulo'!H11</f>
        <v>1.9100000000000001</v>
      </c>
      <c r="E24" s="20">
        <f>'[1]F 4 TRI _ Granulo'!E11</f>
        <v>0</v>
      </c>
      <c r="F24" s="20">
        <f t="shared" si="1"/>
        <v>1.9100000000000001</v>
      </c>
      <c r="G24" s="21">
        <f t="shared" si="0"/>
        <v>2.5419217460739944E-2</v>
      </c>
      <c r="H24" s="21">
        <f>'[1]Calcul sous cat &gt;20'!N33/100</f>
        <v>2.3418443262360453E-2</v>
      </c>
      <c r="I24" s="348"/>
      <c r="J24" s="348"/>
    </row>
    <row r="25" spans="1:10" s="1" customFormat="1" ht="15" customHeight="1" x14ac:dyDescent="0.2">
      <c r="A25" s="346"/>
      <c r="B25" s="18" t="s">
        <v>34</v>
      </c>
      <c r="C25" s="19">
        <f>'[1]F 4 TRI _ Granulo'!K12</f>
        <v>0.41428571428571465</v>
      </c>
      <c r="D25" s="20">
        <f>'[1]F 4 TRI _ Granulo'!H12</f>
        <v>0.64999999999999991</v>
      </c>
      <c r="E25" s="20">
        <f>'[1]F 4 TRI _ Granulo'!E12</f>
        <v>0</v>
      </c>
      <c r="F25" s="20">
        <f t="shared" si="1"/>
        <v>1.0642857142857145</v>
      </c>
      <c r="G25" s="21">
        <f t="shared" si="0"/>
        <v>1.4164036655386134E-2</v>
      </c>
      <c r="H25" s="21">
        <f>'[1]Calcul sous cat &gt;20'!N34/100</f>
        <v>1.3049169955466374E-2</v>
      </c>
      <c r="I25" s="348"/>
      <c r="J25" s="348"/>
    </row>
    <row r="26" spans="1:10" s="1" customFormat="1" ht="15" customHeight="1" x14ac:dyDescent="0.2">
      <c r="A26" s="346"/>
      <c r="B26" s="18" t="s">
        <v>35</v>
      </c>
      <c r="C26" s="19">
        <f>'[1]F 4 TRI _ Granulo'!K13</f>
        <v>1.7400000000000015</v>
      </c>
      <c r="D26" s="20">
        <f>'[1]F 4 TRI _ Granulo'!H13</f>
        <v>5.2099999999999991</v>
      </c>
      <c r="E26" s="20">
        <f>'[1]F 4 TRI _ Granulo'!E13</f>
        <v>0</v>
      </c>
      <c r="F26" s="20">
        <f t="shared" si="1"/>
        <v>6.9500000000000011</v>
      </c>
      <c r="G26" s="21">
        <f t="shared" si="0"/>
        <v>9.2494011179132266E-2</v>
      </c>
      <c r="H26" s="21">
        <f>'[1]Calcul sous cat &gt;20'!N35/100</f>
        <v>8.6069905048907588E-2</v>
      </c>
      <c r="I26" s="348"/>
      <c r="J26" s="348"/>
    </row>
    <row r="27" spans="1:10" s="1" customFormat="1" ht="15" customHeight="1" x14ac:dyDescent="0.2">
      <c r="A27" s="347"/>
      <c r="B27" s="18" t="s">
        <v>36</v>
      </c>
      <c r="C27" s="19">
        <f>'[1]F 4 TRI _ Granulo'!K14</f>
        <v>0.74571428571428633</v>
      </c>
      <c r="D27" s="20">
        <f>'[1]F 4 TRI _ Granulo'!H14</f>
        <v>0.79</v>
      </c>
      <c r="E27" s="20">
        <f>'[1]F 4 TRI _ Granulo'!E14</f>
        <v>0</v>
      </c>
      <c r="F27" s="20">
        <f t="shared" si="1"/>
        <v>1.5357142857142865</v>
      </c>
      <c r="G27" s="21">
        <f t="shared" si="0"/>
        <v>2.0438039469181341E-2</v>
      </c>
      <c r="H27" s="21">
        <f>'[1]Calcul sous cat &gt;20'!N36/100</f>
        <v>1.942098650946698E-2</v>
      </c>
      <c r="I27" s="348"/>
      <c r="J27" s="348"/>
    </row>
    <row r="28" spans="1:10" s="1" customFormat="1" ht="15" customHeight="1" x14ac:dyDescent="0.2">
      <c r="A28" s="345" t="s">
        <v>37</v>
      </c>
      <c r="B28" s="18" t="s">
        <v>38</v>
      </c>
      <c r="C28" s="19">
        <f>'[1]F 4 TRI _ Granulo'!K15</f>
        <v>3.2314285714285722</v>
      </c>
      <c r="D28" s="20">
        <f>'[1]F 4 TRI _ Granulo'!H15</f>
        <v>1.21</v>
      </c>
      <c r="E28" s="20">
        <f>'[1]F 4 TRI _ Granulo'!E15</f>
        <v>0</v>
      </c>
      <c r="F28" s="20">
        <f t="shared" si="1"/>
        <v>4.4414285714285722</v>
      </c>
      <c r="G28" s="21">
        <f t="shared" si="0"/>
        <v>5.9108711357846296E-2</v>
      </c>
      <c r="H28" s="21">
        <f>'[1]Calcul sous cat &gt;20'!N37/100</f>
        <v>5.4923064441224877E-2</v>
      </c>
      <c r="I28" s="348">
        <f>G28+G29+G30</f>
        <v>9.6828776759572605E-2</v>
      </c>
      <c r="J28" s="348">
        <f>'[1]Calcul sous cat &gt;20'!N10/100</f>
        <v>9.024406942345338E-2</v>
      </c>
    </row>
    <row r="29" spans="1:10" s="1" customFormat="1" ht="15" customHeight="1" x14ac:dyDescent="0.2">
      <c r="A29" s="346"/>
      <c r="B29" s="18" t="s">
        <v>39</v>
      </c>
      <c r="C29" s="19">
        <f>'[1]F 4 TRI _ Granulo'!K16</f>
        <v>0.41428571428571465</v>
      </c>
      <c r="D29" s="20">
        <f>'[1]F 4 TRI _ Granulo'!H16</f>
        <v>1.4300000000000002</v>
      </c>
      <c r="E29" s="20">
        <f>'[1]F 4 TRI _ Granulo'!E16</f>
        <v>0</v>
      </c>
      <c r="F29" s="20">
        <f t="shared" si="1"/>
        <v>1.8442857142857148</v>
      </c>
      <c r="G29" s="21">
        <f t="shared" si="0"/>
        <v>2.4544659492756374E-2</v>
      </c>
      <c r="H29" s="21">
        <f>'[1]Calcul sous cat &gt;20'!N38/100</f>
        <v>2.2819292419436022E-2</v>
      </c>
      <c r="I29" s="348"/>
      <c r="J29" s="348"/>
    </row>
    <row r="30" spans="1:10" s="1" customFormat="1" ht="15" customHeight="1" x14ac:dyDescent="0.2">
      <c r="A30" s="347"/>
      <c r="B30" s="18" t="s">
        <v>40</v>
      </c>
      <c r="C30" s="19">
        <f>'[1]F 4 TRI _ Granulo'!K17</f>
        <v>0.5800000000000004</v>
      </c>
      <c r="D30" s="20">
        <f>'[1]F 4 TRI _ Granulo'!H17</f>
        <v>0.41000000000000014</v>
      </c>
      <c r="E30" s="20">
        <f>'[1]F 4 TRI _ Granulo'!E17</f>
        <v>0</v>
      </c>
      <c r="F30" s="20">
        <f t="shared" si="1"/>
        <v>0.99000000000000055</v>
      </c>
      <c r="G30" s="21">
        <f t="shared" si="0"/>
        <v>1.3175405908969925E-2</v>
      </c>
      <c r="H30" s="21">
        <f>'[1]Calcul sous cat &gt;20'!N39/100</f>
        <v>1.2501712562792491E-2</v>
      </c>
      <c r="I30" s="348"/>
      <c r="J30" s="348"/>
    </row>
    <row r="31" spans="1:10" s="1" customFormat="1" ht="15" customHeight="1" x14ac:dyDescent="0.2">
      <c r="A31" s="352" t="s">
        <v>41</v>
      </c>
      <c r="B31" s="18" t="s">
        <v>42</v>
      </c>
      <c r="C31" s="19">
        <f>'[1]F 4 TRI _ Granulo'!K18</f>
        <v>0.24857142857142878</v>
      </c>
      <c r="D31" s="20">
        <f>'[1]F 4 TRI _ Granulo'!H18</f>
        <v>7.0000000000000062E-2</v>
      </c>
      <c r="E31" s="20">
        <f>'[1]F 4 TRI _ Granulo'!E18</f>
        <v>0</v>
      </c>
      <c r="F31" s="20">
        <f t="shared" si="1"/>
        <v>0.31857142857142884</v>
      </c>
      <c r="G31" s="21">
        <f t="shared" si="0"/>
        <v>4.2397049317464564E-3</v>
      </c>
      <c r="H31" s="241">
        <f>G31*J31/I31</f>
        <v>4.973627615413507E-3</v>
      </c>
      <c r="I31" s="355">
        <f>G31+G32+G33+G34</f>
        <v>4.863302787178219E-2</v>
      </c>
      <c r="J31" s="355">
        <f>'[1]Calcul sous cat &gt;20'!N11/100</f>
        <v>5.7051746368734266E-2</v>
      </c>
    </row>
    <row r="32" spans="1:10" s="1" customFormat="1" ht="15" customHeight="1" x14ac:dyDescent="0.2">
      <c r="A32" s="353"/>
      <c r="B32" s="18" t="s">
        <v>43</v>
      </c>
      <c r="C32" s="19">
        <f>'[1]F 4 TRI _ Granulo'!K19</f>
        <v>3.0657142857142863</v>
      </c>
      <c r="D32" s="20">
        <f>'[1]F 4 TRI _ Granulo'!H19</f>
        <v>0.27</v>
      </c>
      <c r="E32" s="20">
        <f>'[1]F 4 TRI _ Granulo'!E19</f>
        <v>0</v>
      </c>
      <c r="F32" s="20">
        <f t="shared" si="1"/>
        <v>3.3357142857142863</v>
      </c>
      <c r="G32" s="21">
        <f t="shared" si="0"/>
        <v>4.4393322940035736E-2</v>
      </c>
      <c r="H32" s="241">
        <f>G32*J31/I31</f>
        <v>5.207811875332076E-2</v>
      </c>
      <c r="I32" s="356"/>
      <c r="J32" s="356"/>
    </row>
    <row r="33" spans="1:10" s="1" customFormat="1" ht="15" customHeight="1" x14ac:dyDescent="0.2">
      <c r="A33" s="353"/>
      <c r="B33" s="18" t="s">
        <v>44</v>
      </c>
      <c r="C33" s="19">
        <f>'[1]F 4 TRI _ Granulo'!K20</f>
        <v>0</v>
      </c>
      <c r="D33" s="20">
        <f>'[1]F 4 TRI _ Granulo'!H20</f>
        <v>0</v>
      </c>
      <c r="E33" s="20">
        <f>'[1]F 4 TRI _ Granulo'!E20</f>
        <v>0</v>
      </c>
      <c r="F33" s="20">
        <f t="shared" si="1"/>
        <v>0</v>
      </c>
      <c r="G33" s="21">
        <f t="shared" si="0"/>
        <v>0</v>
      </c>
      <c r="H33" s="241">
        <f>G33*J31/I31</f>
        <v>0</v>
      </c>
      <c r="I33" s="356"/>
      <c r="J33" s="356"/>
    </row>
    <row r="34" spans="1:10" s="1" customFormat="1" ht="15" customHeight="1" x14ac:dyDescent="0.2">
      <c r="A34" s="354"/>
      <c r="B34" s="18" t="s">
        <v>120</v>
      </c>
      <c r="C34" s="19">
        <f>'[1]F 4 TRI _ Granulo'!K21</f>
        <v>0</v>
      </c>
      <c r="D34" s="20">
        <f>'[1]F 4 TRI _ Granulo'!H21</f>
        <v>0</v>
      </c>
      <c r="E34" s="20">
        <f>'[1]F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357"/>
      <c r="J34" s="357"/>
    </row>
    <row r="35" spans="1:10" s="1" customFormat="1" ht="15" customHeight="1" x14ac:dyDescent="0.2">
      <c r="A35" s="251" t="s">
        <v>45</v>
      </c>
      <c r="B35" s="18" t="s">
        <v>46</v>
      </c>
      <c r="C35" s="19">
        <f>'[1]F 4 TRI _ Granulo'!K22</f>
        <v>0.5800000000000004</v>
      </c>
      <c r="D35" s="20">
        <f>'[1]F 4 TRI _ Granulo'!H22</f>
        <v>0.4700000000000002</v>
      </c>
      <c r="E35" s="20">
        <f>'[1]F 4 TRI _ Granulo'!E22</f>
        <v>0.8</v>
      </c>
      <c r="F35" s="20">
        <f t="shared" si="1"/>
        <v>1.8500000000000008</v>
      </c>
      <c r="G35" s="21">
        <f t="shared" si="0"/>
        <v>2.4620708011711474E-2</v>
      </c>
      <c r="H35" s="21">
        <f>'[1]Calcul sous cat &gt;20'!N43/100</f>
        <v>2.2927546772241115E-2</v>
      </c>
      <c r="I35" s="252">
        <f>G35</f>
        <v>2.4620708011711474E-2</v>
      </c>
      <c r="J35" s="252">
        <f>'[1]Calcul sous cat &gt;20'!N12/100</f>
        <v>2.2927546772241115E-2</v>
      </c>
    </row>
    <row r="36" spans="1:10" s="1" customFormat="1" ht="15" customHeight="1" x14ac:dyDescent="0.2">
      <c r="A36" s="345" t="s">
        <v>47</v>
      </c>
      <c r="B36" s="18" t="s">
        <v>48</v>
      </c>
      <c r="C36" s="19">
        <f>'[1]F 4 TRI _ Granulo'!K23</f>
        <v>8.7000000000000011</v>
      </c>
      <c r="D36" s="20">
        <f>'[1]F 4 TRI _ Granulo'!H23</f>
        <v>0.31000000000000005</v>
      </c>
      <c r="E36" s="20">
        <f>'[1]F 4 TRI _ Granulo'!E23</f>
        <v>0</v>
      </c>
      <c r="F36" s="20">
        <f t="shared" si="1"/>
        <v>9.0100000000000016</v>
      </c>
      <c r="G36" s="21">
        <f t="shared" si="0"/>
        <v>0.11990950226244342</v>
      </c>
      <c r="H36" s="21">
        <f>'[1]Calcul sous cat &gt;20'!N44/100</f>
        <v>0.115205126711917</v>
      </c>
      <c r="I36" s="348">
        <f>G36+G37</f>
        <v>0.19373360203810031</v>
      </c>
      <c r="J36" s="348">
        <f>'[1]Calcul sous cat &gt;20'!N13/100</f>
        <v>0.18548407507536241</v>
      </c>
    </row>
    <row r="37" spans="1:10" s="1" customFormat="1" ht="15" customHeight="1" x14ac:dyDescent="0.2">
      <c r="A37" s="347"/>
      <c r="B37" s="18" t="s">
        <v>49</v>
      </c>
      <c r="C37" s="19">
        <f>'[1]F 4 TRI _ Granulo'!K24</f>
        <v>4.5571428571428596</v>
      </c>
      <c r="D37" s="20">
        <f>'[1]F 4 TRI _ Granulo'!H24</f>
        <v>0.99000000000000021</v>
      </c>
      <c r="E37" s="20">
        <f>'[1]F 4 TRI _ Granulo'!E24</f>
        <v>0</v>
      </c>
      <c r="F37" s="20">
        <f t="shared" si="1"/>
        <v>5.5471428571428598</v>
      </c>
      <c r="G37" s="21">
        <f t="shared" si="0"/>
        <v>7.3824099775656876E-2</v>
      </c>
      <c r="H37" s="21">
        <f>'[1]Calcul sous cat &gt;20'!N45/100</f>
        <v>7.0278948363445393E-2</v>
      </c>
      <c r="I37" s="348"/>
      <c r="J37" s="348"/>
    </row>
    <row r="38" spans="1:10" s="1" customFormat="1" ht="15" customHeight="1" x14ac:dyDescent="0.2">
      <c r="A38" s="345" t="s">
        <v>50</v>
      </c>
      <c r="B38" s="18" t="s">
        <v>51</v>
      </c>
      <c r="C38" s="19">
        <f>'[1]F 4 TRI _ Granulo'!K25</f>
        <v>1.0771428571428581</v>
      </c>
      <c r="D38" s="20">
        <f>'[1]F 4 TRI _ Granulo'!H25</f>
        <v>4.59</v>
      </c>
      <c r="E38" s="20">
        <f>'[1]F 4 TRI _ Granulo'!E25</f>
        <v>0</v>
      </c>
      <c r="F38" s="20">
        <f t="shared" si="1"/>
        <v>5.6671428571428581</v>
      </c>
      <c r="G38" s="21">
        <f t="shared" si="0"/>
        <v>7.5421118673713816E-2</v>
      </c>
      <c r="H38" s="21">
        <f>'[1]Calcul sous cat &gt;20'!N46/100</f>
        <v>8.1328198495783682E-2</v>
      </c>
      <c r="I38" s="348">
        <f>G38+G39+G40+G41+G42</f>
        <v>0.18749762348378263</v>
      </c>
      <c r="J38" s="348">
        <f>'[1]Calcul sous cat &gt;20'!N14/100</f>
        <v>0.19699303275552327</v>
      </c>
    </row>
    <row r="39" spans="1:10" s="1" customFormat="1" ht="15" customHeight="1" x14ac:dyDescent="0.2">
      <c r="A39" s="346"/>
      <c r="B39" s="18" t="s">
        <v>52</v>
      </c>
      <c r="C39" s="19">
        <f>'[1]F 4 TRI _ Granulo'!K26</f>
        <v>1.7400000000000015</v>
      </c>
      <c r="D39" s="20">
        <f>'[1]F 4 TRI _ Granulo'!H26</f>
        <v>1.2400000000000002</v>
      </c>
      <c r="E39" s="20">
        <f>'[1]F 4 TRI _ Granulo'!E26</f>
        <v>0</v>
      </c>
      <c r="F39" s="20">
        <f t="shared" si="1"/>
        <v>2.9800000000000018</v>
      </c>
      <c r="G39" s="21">
        <f t="shared" si="0"/>
        <v>3.9659302635081189E-2</v>
      </c>
      <c r="H39" s="21">
        <f>'[1]Calcul sous cat &gt;20'!N47/100</f>
        <v>3.823706462326501E-2</v>
      </c>
      <c r="I39" s="348"/>
      <c r="J39" s="348"/>
    </row>
    <row r="40" spans="1:10" s="1" customFormat="1" ht="15" customHeight="1" x14ac:dyDescent="0.2">
      <c r="A40" s="346"/>
      <c r="B40" s="18" t="s">
        <v>53</v>
      </c>
      <c r="C40" s="19">
        <f>'[1]F 4 TRI _ Granulo'!K27</f>
        <v>0.24857142857142878</v>
      </c>
      <c r="D40" s="20">
        <f>'[1]F 4 TRI _ Granulo'!H27</f>
        <v>0.17000000000000015</v>
      </c>
      <c r="E40" s="20">
        <f>'[1]F 4 TRI _ Granulo'!E27</f>
        <v>0</v>
      </c>
      <c r="F40" s="20">
        <f t="shared" si="1"/>
        <v>0.41857142857142893</v>
      </c>
      <c r="G40" s="21">
        <f t="shared" si="0"/>
        <v>5.5705540134605904E-3</v>
      </c>
      <c r="H40" s="21">
        <f>'[1]Calcul sous cat &gt;20'!N48/100</f>
        <v>5.3701875192786108E-3</v>
      </c>
      <c r="I40" s="348"/>
      <c r="J40" s="348"/>
    </row>
    <row r="41" spans="1:10" s="1" customFormat="1" ht="15" customHeight="1" x14ac:dyDescent="0.2">
      <c r="A41" s="346"/>
      <c r="B41" s="18" t="s">
        <v>54</v>
      </c>
      <c r="C41" s="19">
        <f>'[1]F 4 TRI _ Granulo'!K28</f>
        <v>2.7342857142857149</v>
      </c>
      <c r="D41" s="20">
        <f>'[1]F 4 TRI _ Granulo'!H28</f>
        <v>1.4699999999999998</v>
      </c>
      <c r="E41" s="20">
        <f>'[1]F 4 TRI _ Granulo'!E28</f>
        <v>0</v>
      </c>
      <c r="F41" s="20">
        <f t="shared" si="1"/>
        <v>4.2042857142857146</v>
      </c>
      <c r="G41" s="21">
        <f t="shared" si="0"/>
        <v>5.5952697821209915E-2</v>
      </c>
      <c r="H41" s="21">
        <f>'[1]Calcul sous cat &gt;20'!N49/100</f>
        <v>6.0313705257015432E-2</v>
      </c>
      <c r="I41" s="348"/>
      <c r="J41" s="348"/>
    </row>
    <row r="42" spans="1:10" s="1" customFormat="1" ht="27" customHeight="1" x14ac:dyDescent="0.2">
      <c r="A42" s="347"/>
      <c r="B42" s="18" t="s">
        <v>55</v>
      </c>
      <c r="C42" s="19">
        <f>'[1]F 4 TRI _ Granulo'!K29</f>
        <v>0.24857142857142878</v>
      </c>
      <c r="D42" s="20">
        <f>'[1]F 4 TRI _ Granulo'!H29</f>
        <v>0.57000000000000028</v>
      </c>
      <c r="E42" s="20">
        <f>'[1]F 4 TRI _ Granulo'!E29</f>
        <v>0</v>
      </c>
      <c r="F42" s="20">
        <f t="shared" si="1"/>
        <v>0.81857142857142906</v>
      </c>
      <c r="G42" s="21">
        <f t="shared" si="0"/>
        <v>1.0893950340317125E-2</v>
      </c>
      <c r="H42" s="21">
        <f>'[1]Calcul sous cat &gt;20'!N50/100</f>
        <v>1.1743876860180556E-2</v>
      </c>
      <c r="I42" s="348"/>
      <c r="J42" s="348"/>
    </row>
    <row r="43" spans="1:10" s="1" customFormat="1" ht="26.25" customHeight="1" x14ac:dyDescent="0.2">
      <c r="A43" s="251" t="s">
        <v>56</v>
      </c>
      <c r="B43" s="18" t="s">
        <v>56</v>
      </c>
      <c r="C43" s="19">
        <f>'[1]F 4 TRI _ Granulo'!K30</f>
        <v>1.0771428571428581</v>
      </c>
      <c r="D43" s="20">
        <f>'[1]F 4 TRI _ Granulo'!H30</f>
        <v>0.71</v>
      </c>
      <c r="E43" s="20">
        <f>'[1]F 4 TRI _ Granulo'!E30</f>
        <v>0</v>
      </c>
      <c r="F43" s="20">
        <f t="shared" si="1"/>
        <v>1.787142857142858</v>
      </c>
      <c r="G43" s="21">
        <f t="shared" si="0"/>
        <v>2.3784174303205449E-2</v>
      </c>
      <c r="H43" s="21">
        <f>J43</f>
        <v>2.2618274307910601E-2</v>
      </c>
      <c r="I43" s="252">
        <f>G43</f>
        <v>2.3784174303205449E-2</v>
      </c>
      <c r="J43" s="252">
        <f>'[1]Calcul sous cat &gt;20'!N15/100</f>
        <v>2.2618274307910601E-2</v>
      </c>
    </row>
    <row r="44" spans="1:10" s="1" customFormat="1" ht="15" customHeight="1" x14ac:dyDescent="0.2">
      <c r="A44" s="345" t="s">
        <v>57</v>
      </c>
      <c r="B44" s="18" t="s">
        <v>58</v>
      </c>
      <c r="C44" s="19">
        <f>'[1]F 4 TRI _ Granulo'!K31</f>
        <v>1.242857142857144</v>
      </c>
      <c r="D44" s="20">
        <f>'[1]F 4 TRI _ Granulo'!H31</f>
        <v>2.77</v>
      </c>
      <c r="E44" s="20">
        <f>'[1]F 4 TRI _ Granulo'!E31</f>
        <v>0</v>
      </c>
      <c r="F44" s="20">
        <f t="shared" si="1"/>
        <v>4.0128571428571442</v>
      </c>
      <c r="G44" s="21">
        <f t="shared" si="0"/>
        <v>5.3405072436214306E-2</v>
      </c>
      <c r="H44" s="21">
        <f>G44*J44/I44</f>
        <v>4.967661391665705E-2</v>
      </c>
      <c r="I44" s="348">
        <f>G44+G45</f>
        <v>5.4640860869234573E-2</v>
      </c>
      <c r="J44" s="348">
        <f>'[1]Calcul sous cat &gt;20'!N16/100</f>
        <v>5.0826126164639503E-2</v>
      </c>
    </row>
    <row r="45" spans="1:10" s="1" customFormat="1" ht="15" customHeight="1" x14ac:dyDescent="0.2">
      <c r="A45" s="347"/>
      <c r="B45" s="18" t="s">
        <v>59</v>
      </c>
      <c r="C45" s="19">
        <f>'[1]F 4 TRI _ Granulo'!K32</f>
        <v>8.2857142857142935E-2</v>
      </c>
      <c r="D45" s="20">
        <f>'[1]F 4 TRI _ Granulo'!H32</f>
        <v>1.0000000000000009E-2</v>
      </c>
      <c r="E45" s="20">
        <f>'[1]F 4 TRI _ Granulo'!E32</f>
        <v>0</v>
      </c>
      <c r="F45" s="20">
        <f t="shared" si="1"/>
        <v>9.2857142857142944E-2</v>
      </c>
      <c r="G45" s="21">
        <f t="shared" si="0"/>
        <v>1.2357884330202677E-3</v>
      </c>
      <c r="H45" s="21">
        <f>G45*J44/I44</f>
        <v>1.1495122479824528E-3</v>
      </c>
      <c r="I45" s="348"/>
      <c r="J45" s="348"/>
    </row>
    <row r="46" spans="1:10" s="1" customFormat="1" ht="15" customHeight="1" x14ac:dyDescent="0.2">
      <c r="A46" s="345" t="s">
        <v>60</v>
      </c>
      <c r="B46" s="18" t="s">
        <v>61</v>
      </c>
      <c r="C46" s="19">
        <f>'[1]F 4 TRI _ Granulo'!K33</f>
        <v>0.5800000000000004</v>
      </c>
      <c r="D46" s="20">
        <f>'[1]F 4 TRI _ Granulo'!H33</f>
        <v>0.27</v>
      </c>
      <c r="E46" s="20">
        <f>'[1]F 4 TRI _ Granulo'!E33</f>
        <v>0</v>
      </c>
      <c r="F46" s="20">
        <f t="shared" si="1"/>
        <v>0.85000000000000042</v>
      </c>
      <c r="G46" s="21">
        <f t="shared" si="0"/>
        <v>1.1312217194570137E-2</v>
      </c>
      <c r="H46" s="21">
        <f t="shared" ref="H46:H51" si="2">G46*$J$46/$I$46</f>
        <v>1.086466722078196E-2</v>
      </c>
      <c r="I46" s="348">
        <f>G46+G47+G50+G51+G48+G49</f>
        <v>1.8917069090079477E-2</v>
      </c>
      <c r="J46" s="348">
        <f>'[1]Calcul sous cat &gt;20'!N17/100</f>
        <v>1.8168645184332862E-2</v>
      </c>
    </row>
    <row r="47" spans="1:10" s="1" customFormat="1" ht="15" customHeight="1" x14ac:dyDescent="0.2">
      <c r="A47" s="346"/>
      <c r="B47" s="18" t="s">
        <v>62</v>
      </c>
      <c r="C47" s="19">
        <f>'[1]F 4 TRI _ Granulo'!K34</f>
        <v>0.24857142857142878</v>
      </c>
      <c r="D47" s="20">
        <f>'[1]F 4 TRI _ Granulo'!H34</f>
        <v>5.0000000000000044E-2</v>
      </c>
      <c r="E47" s="20">
        <f>'[1]F 4 TRI _ Granulo'!E34</f>
        <v>0</v>
      </c>
      <c r="F47" s="20">
        <f t="shared" si="1"/>
        <v>0.29857142857142882</v>
      </c>
      <c r="G47" s="21">
        <f t="shared" si="0"/>
        <v>3.9735351154036296E-3</v>
      </c>
      <c r="H47" s="21">
        <f t="shared" si="2"/>
        <v>3.8163284859553457E-3</v>
      </c>
      <c r="I47" s="348"/>
      <c r="J47" s="348"/>
    </row>
    <row r="48" spans="1:10" s="1" customFormat="1" ht="15" customHeight="1" x14ac:dyDescent="0.2">
      <c r="A48" s="346"/>
      <c r="B48" s="18" t="s">
        <v>63</v>
      </c>
      <c r="C48" s="19">
        <f>'[1]F 4 TRI _ Granulo'!K35</f>
        <v>0</v>
      </c>
      <c r="D48" s="20">
        <f>'[1]F 4 TRI _ Granulo'!H35</f>
        <v>0</v>
      </c>
      <c r="E48" s="20">
        <f>'[1]F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s="1" customFormat="1" ht="15" customHeight="1" x14ac:dyDescent="0.2">
      <c r="A49" s="346"/>
      <c r="B49" s="18" t="s">
        <v>64</v>
      </c>
      <c r="C49" s="19">
        <f>'[1]F 4 TRI _ Granulo'!K36</f>
        <v>0</v>
      </c>
      <c r="D49" s="20">
        <f>'[1]F 4 TRI _ Granulo'!H36</f>
        <v>0</v>
      </c>
      <c r="E49" s="20">
        <f>'[1]F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s="1" customFormat="1" ht="15" customHeight="1" x14ac:dyDescent="0.2">
      <c r="A50" s="346"/>
      <c r="B50" s="18" t="s">
        <v>65</v>
      </c>
      <c r="C50" s="19">
        <f>'[1]F 4 TRI _ Granulo'!K37</f>
        <v>8.2857142857142935E-2</v>
      </c>
      <c r="D50" s="20">
        <f>'[1]F 4 TRI _ Granulo'!H37</f>
        <v>0.19000000000000017</v>
      </c>
      <c r="E50" s="20">
        <f>'[1]F 4 TRI _ Granulo'!E37</f>
        <v>0</v>
      </c>
      <c r="F50" s="20">
        <f t="shared" si="1"/>
        <v>0.27285714285714313</v>
      </c>
      <c r="G50" s="21">
        <f t="shared" si="0"/>
        <v>3.6313167801057095E-3</v>
      </c>
      <c r="H50" s="21">
        <f t="shared" si="2"/>
        <v>3.4876494775955553E-3</v>
      </c>
      <c r="I50" s="348"/>
      <c r="J50" s="348"/>
    </row>
    <row r="51" spans="1:10" s="1" customFormat="1" ht="15" customHeight="1" x14ac:dyDescent="0.2">
      <c r="A51" s="347"/>
      <c r="B51" s="18" t="s">
        <v>66</v>
      </c>
      <c r="C51" s="19">
        <f>'[1]F 4 TRI _ Granulo'!K38</f>
        <v>0</v>
      </c>
      <c r="D51" s="20">
        <f>'[1]F 4 TRI _ Granulo'!H38</f>
        <v>0</v>
      </c>
      <c r="E51" s="20">
        <f>'[1]F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348"/>
      <c r="J51" s="348"/>
    </row>
    <row r="52" spans="1:10" s="1" customFormat="1" ht="15" customHeight="1" x14ac:dyDescent="0.2">
      <c r="A52" s="253" t="s">
        <v>67</v>
      </c>
      <c r="B52" s="18" t="s">
        <v>68</v>
      </c>
      <c r="C52" s="19">
        <f>'[1]F 4 TRI _ Granulo'!K39</f>
        <v>0.5800000000000004</v>
      </c>
      <c r="D52" s="20">
        <f>'[1]F 4 TRI _ Granulo'!H39</f>
        <v>0.17000000000000015</v>
      </c>
      <c r="E52" s="20">
        <f>'[1]F 4 TRI _ Granulo'!E39</f>
        <v>0</v>
      </c>
      <c r="F52" s="20">
        <f t="shared" si="1"/>
        <v>0.75000000000000056</v>
      </c>
      <c r="G52" s="21">
        <f t="shared" si="0"/>
        <v>9.9813681128560049E-3</v>
      </c>
      <c r="H52" s="21">
        <f>J52</f>
        <v>1.0601132244916019E-2</v>
      </c>
      <c r="I52" s="254">
        <f>G52</f>
        <v>9.9813681128560049E-3</v>
      </c>
      <c r="J52" s="254">
        <f>'[1]Calcul sous cat &gt;20'!N18/100</f>
        <v>1.0601132244916019E-2</v>
      </c>
    </row>
    <row r="53" spans="1:10" s="1" customFormat="1" ht="15" customHeight="1" x14ac:dyDescent="0.2">
      <c r="A53" s="345" t="s">
        <v>69</v>
      </c>
      <c r="B53" s="18" t="s">
        <v>121</v>
      </c>
      <c r="C53" s="19">
        <f>'[1]F 4 TRI _ Granulo'!K40</f>
        <v>1.6571428571428568</v>
      </c>
      <c r="D53" s="20">
        <f>'[1]F 4 TRI _ Granulo'!H40</f>
        <v>0.26</v>
      </c>
      <c r="E53" s="20">
        <f>'[1]F 4 TRI _ Granulo'!E40</f>
        <v>0</v>
      </c>
      <c r="F53" s="20">
        <f t="shared" si="1"/>
        <v>1.9171428571428568</v>
      </c>
      <c r="G53" s="21">
        <f t="shared" si="0"/>
        <v>2.5514278109433804E-2</v>
      </c>
      <c r="H53" s="241">
        <f>G53*J53/I53</f>
        <v>2.4233707670798917E-2</v>
      </c>
      <c r="I53" s="348">
        <f>SUM(G53:G62)</f>
        <v>3.3195178523898236E-2</v>
      </c>
      <c r="J53" s="348">
        <f>'[1]Calcul sous cat &gt;20'!N19/100</f>
        <v>3.1529101038163129E-2</v>
      </c>
    </row>
    <row r="54" spans="1:10" s="1" customFormat="1" ht="15" customHeight="1" x14ac:dyDescent="0.2">
      <c r="A54" s="346"/>
      <c r="B54" s="18" t="s">
        <v>70</v>
      </c>
      <c r="C54" s="19">
        <f>'[1]F 4 TRI _ Granulo'!K41</f>
        <v>0</v>
      </c>
      <c r="D54" s="20">
        <f>'[1]F 4 TRI _ Granulo'!H41</f>
        <v>0</v>
      </c>
      <c r="E54" s="20">
        <f>'[1]F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348"/>
      <c r="J54" s="348"/>
    </row>
    <row r="55" spans="1:10" s="1" customFormat="1" ht="15" customHeight="1" x14ac:dyDescent="0.2">
      <c r="A55" s="346"/>
      <c r="B55" s="18" t="s">
        <v>71</v>
      </c>
      <c r="C55" s="19">
        <f>'[1]F 4 TRI _ Granulo'!K42</f>
        <v>0</v>
      </c>
      <c r="D55" s="20">
        <f>'[1]F 4 TRI _ Granulo'!H42</f>
        <v>8.0000000000000071E-2</v>
      </c>
      <c r="E55" s="20">
        <f>'[1]F 4 TRI _ Granulo'!E42</f>
        <v>0</v>
      </c>
      <c r="F55" s="20">
        <f>SUM(C55:E55)</f>
        <v>8.0000000000000071E-2</v>
      </c>
      <c r="G55" s="21">
        <f t="shared" si="0"/>
        <v>1.0646792653713074E-3</v>
      </c>
      <c r="H55" s="332">
        <f>G55*J53/I53</f>
        <v>1.0112426449811779E-3</v>
      </c>
      <c r="I55" s="348"/>
      <c r="J55" s="348"/>
    </row>
    <row r="56" spans="1:10" s="1" customFormat="1" ht="15" customHeight="1" x14ac:dyDescent="0.2">
      <c r="A56" s="346"/>
      <c r="B56" s="18" t="s">
        <v>72</v>
      </c>
      <c r="C56" s="19">
        <f>'[1]F 4 TRI _ Granulo'!K43</f>
        <v>0</v>
      </c>
      <c r="D56" s="20">
        <f>'[1]F 4 TRI _ Granulo'!H43</f>
        <v>0</v>
      </c>
      <c r="E56" s="20">
        <f>'[1]F 4 TRI _ Granulo'!E43</f>
        <v>0</v>
      </c>
      <c r="F56" s="20">
        <f t="shared" si="1"/>
        <v>0</v>
      </c>
      <c r="G56" s="21">
        <f>F56/$F$64</f>
        <v>0</v>
      </c>
      <c r="H56" s="332">
        <f>G56*J53/I53</f>
        <v>0</v>
      </c>
      <c r="I56" s="348"/>
      <c r="J56" s="348"/>
    </row>
    <row r="57" spans="1:10" s="1" customFormat="1" ht="17.25" customHeight="1" x14ac:dyDescent="0.2">
      <c r="A57" s="346"/>
      <c r="B57" s="18" t="s">
        <v>122</v>
      </c>
      <c r="C57" s="19">
        <f>'[1]F 4 TRI _ Granulo'!K44</f>
        <v>0</v>
      </c>
      <c r="D57" s="20">
        <f>'[1]F 4 TRI _ Granulo'!H44</f>
        <v>0</v>
      </c>
      <c r="E57" s="20">
        <f>'[1]F 4 TRI _ Granulo'!E44</f>
        <v>0</v>
      </c>
      <c r="F57" s="20">
        <f t="shared" si="1"/>
        <v>0</v>
      </c>
      <c r="G57" s="21">
        <f t="shared" ref="G57:G62" si="3">F57/$F$64</f>
        <v>0</v>
      </c>
      <c r="H57" s="332">
        <f>G57*J53/I53</f>
        <v>0</v>
      </c>
      <c r="I57" s="348"/>
      <c r="J57" s="348"/>
    </row>
    <row r="58" spans="1:10" s="1" customFormat="1" ht="17.25" customHeight="1" x14ac:dyDescent="0.2">
      <c r="A58" s="346"/>
      <c r="B58" s="18" t="s">
        <v>123</v>
      </c>
      <c r="C58" s="19">
        <f>'[1]F 4 TRI _ Granulo'!K45</f>
        <v>0</v>
      </c>
      <c r="D58" s="20">
        <f>'[1]F 4 TRI _ Granulo'!H45</f>
        <v>0</v>
      </c>
      <c r="E58" s="20">
        <f>'[1]F 4 TRI _ Granulo'!E45</f>
        <v>0</v>
      </c>
      <c r="F58" s="20">
        <f t="shared" si="1"/>
        <v>0</v>
      </c>
      <c r="G58" s="21">
        <f t="shared" si="3"/>
        <v>0</v>
      </c>
      <c r="H58" s="332">
        <f>G58*J53/I53</f>
        <v>0</v>
      </c>
      <c r="I58" s="348"/>
      <c r="J58" s="348"/>
    </row>
    <row r="59" spans="1:10" s="1" customFormat="1" ht="25.5" customHeight="1" x14ac:dyDescent="0.2">
      <c r="A59" s="346"/>
      <c r="B59" s="18" t="s">
        <v>124</v>
      </c>
      <c r="C59" s="19">
        <f>'[1]F 4 TRI _ Granulo'!K46</f>
        <v>0</v>
      </c>
      <c r="D59" s="20">
        <f>'[1]F 4 TRI _ Granulo'!H46</f>
        <v>0</v>
      </c>
      <c r="E59" s="20">
        <f>'[1]F 4 TRI _ Granulo'!E46</f>
        <v>0</v>
      </c>
      <c r="F59" s="20">
        <f t="shared" si="1"/>
        <v>0</v>
      </c>
      <c r="G59" s="21">
        <f t="shared" si="3"/>
        <v>0</v>
      </c>
      <c r="H59" s="332">
        <f>G59*J53/I53</f>
        <v>0</v>
      </c>
      <c r="I59" s="348"/>
      <c r="J59" s="348"/>
    </row>
    <row r="60" spans="1:10" s="1" customFormat="1" ht="12.75" x14ac:dyDescent="0.2">
      <c r="A60" s="346"/>
      <c r="B60" s="18" t="s">
        <v>125</v>
      </c>
      <c r="C60" s="19">
        <f>'[1]F 4 TRI _ Granulo'!K47</f>
        <v>0</v>
      </c>
      <c r="D60" s="20">
        <f>'[1]F 4 TRI _ Granulo'!H47</f>
        <v>0</v>
      </c>
      <c r="E60" s="20">
        <f>'[1]F 4 TRI _ Granulo'!E47</f>
        <v>0</v>
      </c>
      <c r="F60" s="20">
        <f t="shared" si="1"/>
        <v>0</v>
      </c>
      <c r="G60" s="21">
        <f t="shared" si="3"/>
        <v>0</v>
      </c>
      <c r="H60" s="332">
        <f>G60*J53/I53</f>
        <v>0</v>
      </c>
      <c r="I60" s="348"/>
      <c r="J60" s="348"/>
    </row>
    <row r="61" spans="1:10" s="1" customFormat="1" ht="12.75" x14ac:dyDescent="0.2">
      <c r="A61" s="346"/>
      <c r="B61" s="18" t="s">
        <v>126</v>
      </c>
      <c r="C61" s="19">
        <f>'[1]F 4 TRI _ Granulo'!K48</f>
        <v>0.49714285714285755</v>
      </c>
      <c r="D61" s="20">
        <f>'[1]F 4 TRI _ Granulo'!H48</f>
        <v>0</v>
      </c>
      <c r="E61" s="20">
        <f>'[1]F 4 TRI _ Granulo'!E48</f>
        <v>0</v>
      </c>
      <c r="F61" s="20">
        <f t="shared" si="1"/>
        <v>0.49714285714285755</v>
      </c>
      <c r="G61" s="21">
        <f t="shared" si="3"/>
        <v>6.6162211490931244E-3</v>
      </c>
      <c r="H61" s="332">
        <f>G61*J53/I53</f>
        <v>6.2841507223830341E-3</v>
      </c>
      <c r="I61" s="348"/>
      <c r="J61" s="348"/>
    </row>
    <row r="62" spans="1:10" x14ac:dyDescent="0.25">
      <c r="A62" s="358"/>
      <c r="B62" s="18" t="s">
        <v>73</v>
      </c>
      <c r="C62" s="19">
        <f>'[1]F 4 TRI _ Granulo'!K49</f>
        <v>0</v>
      </c>
      <c r="D62" s="20">
        <f>'[1]F 4 TRI _ Granulo'!H49</f>
        <v>0</v>
      </c>
      <c r="E62" s="20">
        <f>'[1]F 4 TRI _ Granulo'!E49</f>
        <v>0</v>
      </c>
      <c r="F62" s="20">
        <f t="shared" si="1"/>
        <v>0</v>
      </c>
      <c r="G62" s="21">
        <f t="shared" si="3"/>
        <v>0</v>
      </c>
      <c r="H62" s="332">
        <f>G62*J53/I53</f>
        <v>0</v>
      </c>
      <c r="I62" s="348"/>
      <c r="J62" s="348"/>
    </row>
    <row r="63" spans="1:10" x14ac:dyDescent="0.25">
      <c r="A63" s="22" t="s">
        <v>74</v>
      </c>
      <c r="B63" s="23">
        <f>'[1]F 3 _ Criblage et Tri'!C27+'[1]F 3 _ Criblage et Tri'!D27</f>
        <v>6.4600000000000009</v>
      </c>
      <c r="C63" s="19">
        <f>'[1]F 4 TRI _ Granulo'!K50</f>
        <v>0.66285714285714348</v>
      </c>
      <c r="D63" s="20">
        <f>'[1]F 4 TRI _ Granulo'!H50</f>
        <v>0.10000000000000009</v>
      </c>
      <c r="E63" s="20">
        <f>'[1]F 4 TRI _ Granulo'!E50</f>
        <v>0</v>
      </c>
      <c r="F63" s="19">
        <f>SUM(B63:E63)</f>
        <v>7.2228571428571442</v>
      </c>
      <c r="G63" s="21">
        <f t="shared" si="0"/>
        <v>9.6125327959237977E-2</v>
      </c>
      <c r="H63" s="21">
        <f>J63</f>
        <v>4.7150004756023801E-2</v>
      </c>
      <c r="I63" s="24">
        <f>G63</f>
        <v>9.6125327959237977E-2</v>
      </c>
      <c r="J63" s="24">
        <f>'[1]Calcul sous cat &gt;20'!N20/100</f>
        <v>4.7150004756023801E-2</v>
      </c>
    </row>
    <row r="64" spans="1:10" x14ac:dyDescent="0.25">
      <c r="A64" s="25" t="s">
        <v>25</v>
      </c>
      <c r="B64" s="90">
        <f>B63</f>
        <v>6.4600000000000009</v>
      </c>
      <c r="C64" s="19">
        <f>SUM(C18:C63)</f>
        <v>40.310000000000016</v>
      </c>
      <c r="D64" s="19">
        <f>SUM(D18:D63)</f>
        <v>27.570000000000007</v>
      </c>
      <c r="E64" s="19">
        <f>SUM(E18:E63)</f>
        <v>0.8</v>
      </c>
      <c r="F64" s="19">
        <f>SUM(B64:E64)</f>
        <v>75.140000000000029</v>
      </c>
      <c r="G64" s="21">
        <f t="shared" si="0"/>
        <v>1</v>
      </c>
      <c r="H64" s="21">
        <f>SUM(H18:H63)</f>
        <v>1</v>
      </c>
      <c r="I64" s="24">
        <f>SUM(I18:I63)</f>
        <v>1</v>
      </c>
      <c r="J64" s="24">
        <f>SUM(J18:J63)</f>
        <v>1</v>
      </c>
    </row>
    <row r="65" spans="1:10" ht="26.25" x14ac:dyDescent="0.25">
      <c r="A65" s="26" t="s">
        <v>75</v>
      </c>
      <c r="B65" s="235">
        <f>B64/$F$64</f>
        <v>8.5972850678733004E-2</v>
      </c>
      <c r="C65" s="235">
        <f>C64/$F$64</f>
        <v>0.53646526483896728</v>
      </c>
      <c r="D65" s="235">
        <f>D64/$F$64</f>
        <v>0.36691509182858661</v>
      </c>
      <c r="E65" s="235">
        <f>E64/$F$64</f>
        <v>1.0646792653713065E-2</v>
      </c>
      <c r="F65" s="235">
        <f>F64/$F$64</f>
        <v>1</v>
      </c>
      <c r="G65" s="1"/>
      <c r="H65" s="1"/>
      <c r="I65" s="1"/>
      <c r="J65" s="1"/>
    </row>
  </sheetData>
  <mergeCells count="40">
    <mergeCell ref="A53:A62"/>
    <mergeCell ref="A44:A45"/>
    <mergeCell ref="I44:I45"/>
    <mergeCell ref="J44:J45"/>
    <mergeCell ref="A46:A51"/>
    <mergeCell ref="I46:I51"/>
    <mergeCell ref="J46:J51"/>
    <mergeCell ref="I53:I62"/>
    <mergeCell ref="J53:J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I18:I22"/>
    <mergeCell ref="J18:J22"/>
    <mergeCell ref="A23:A27"/>
    <mergeCell ref="I23:I27"/>
    <mergeCell ref="J23:J27"/>
    <mergeCell ref="A18:A22"/>
    <mergeCell ref="B2:F2"/>
    <mergeCell ref="D12:F12"/>
    <mergeCell ref="A14:J14"/>
    <mergeCell ref="G16:G17"/>
    <mergeCell ref="H16:H17"/>
    <mergeCell ref="I16:I17"/>
    <mergeCell ref="J16:J17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M21" sqref="M21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'[11]F 1 _ Echant et Séchage'!D5</f>
        <v>ISS-A15-PC-BAN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'[11]F 1 _ Echant et Séchage'!D6</f>
        <v>CK 947 YE - BOULOGNE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335"/>
      <c r="C4" s="335" t="str">
        <f>'[11]F 1 _ Echant et Séchage'!D8</f>
        <v>ISSEANE</v>
      </c>
      <c r="D4" s="335"/>
      <c r="E4" s="335"/>
      <c r="F4" s="335"/>
      <c r="G4" s="3"/>
      <c r="H4" s="3"/>
      <c r="I4" s="3"/>
      <c r="J4" s="3"/>
    </row>
    <row r="5" spans="1:10" x14ac:dyDescent="0.25">
      <c r="A5" s="1" t="s">
        <v>3</v>
      </c>
      <c r="B5" s="335"/>
      <c r="C5" s="335" t="str">
        <f>'[11]F 1 _ Echant et Séchage'!E15</f>
        <v>pluvieux</v>
      </c>
      <c r="D5" s="335"/>
      <c r="E5" s="335"/>
      <c r="F5" s="335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'[11]F 1 _ Echant et Séchage'!B12</f>
        <v>42271</v>
      </c>
      <c r="C9" s="1"/>
      <c r="D9" s="337" t="s">
        <v>6</v>
      </c>
      <c r="E9" s="337"/>
      <c r="F9" s="337"/>
      <c r="G9" s="6">
        <f>'[11]F 1 _ Echant et Séchage'!G19</f>
        <v>124.3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'[11]F 1 _ Echant et Séchage'!E12</f>
        <v>20H10</v>
      </c>
      <c r="C10" s="1"/>
      <c r="D10" s="337" t="s">
        <v>9</v>
      </c>
      <c r="E10" s="337"/>
      <c r="F10" s="337"/>
      <c r="G10" s="335">
        <f>'[11]F 1 _ Echant et Séchage'!H26</f>
        <v>0.5</v>
      </c>
      <c r="H10" s="335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0.24859999999999999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6">
        <f>'[11]F 1 _ Echant et Séchage'!D51</f>
        <v>0.36251005631536609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</row>
    <row r="18" spans="1:10" ht="25.5" x14ac:dyDescent="0.25">
      <c r="A18" s="334" t="s">
        <v>109</v>
      </c>
      <c r="B18" s="18" t="s">
        <v>111</v>
      </c>
      <c r="C18" s="19">
        <f>'[11]F 4 TRI _ Granulo'!K5</f>
        <v>32.965171102661593</v>
      </c>
      <c r="D18" s="20">
        <f>'[11]F 4 TRI _ Granulo'!H5</f>
        <v>21.879999999999995</v>
      </c>
      <c r="E18" s="20">
        <f>'[11]F 4 TRI _ Granulo'!E5</f>
        <v>2.7199999999999998</v>
      </c>
      <c r="F18" s="20">
        <f>SUM(C18:E18)</f>
        <v>57.565171102661587</v>
      </c>
      <c r="G18" s="21">
        <f>F18/$F$21</f>
        <v>0.73317933295559645</v>
      </c>
      <c r="H18" s="98"/>
      <c r="I18" s="99"/>
      <c r="J18" s="99"/>
    </row>
    <row r="19" spans="1:10" ht="25.5" x14ac:dyDescent="0.25">
      <c r="A19" s="333" t="s">
        <v>110</v>
      </c>
      <c r="B19" s="18" t="s">
        <v>112</v>
      </c>
      <c r="C19" s="19">
        <f>'[11]F 4 TRI _ Granulo'!K6</f>
        <v>8.649277566539924</v>
      </c>
      <c r="D19" s="20">
        <f>'[11]F 4 TRI _ Granulo'!H6</f>
        <v>4</v>
      </c>
      <c r="E19" s="20">
        <f>'[11]F 4 TRI _ Granulo'!E6</f>
        <v>0</v>
      </c>
      <c r="F19" s="20">
        <f>SUM(C19:E19)</f>
        <v>12.649277566539924</v>
      </c>
      <c r="G19" s="21">
        <f>F19/$F$21</f>
        <v>0.16110764045270301</v>
      </c>
      <c r="H19" s="98"/>
      <c r="I19" s="100"/>
      <c r="J19" s="100"/>
    </row>
    <row r="20" spans="1:10" x14ac:dyDescent="0.25">
      <c r="A20" s="22" t="s">
        <v>74</v>
      </c>
      <c r="B20" s="23">
        <f>'[11]F 3 _ Criblage et Tri'!C27+'[11]F 3 _ Criblage et Tri'!D27</f>
        <v>8.06</v>
      </c>
      <c r="C20" s="19">
        <f>'[11]F 4 TRI _ Granulo'!K7</f>
        <v>0</v>
      </c>
      <c r="D20" s="20">
        <f>'[11]F 4 TRI _ Granulo'!H7</f>
        <v>0.24000000000000021</v>
      </c>
      <c r="E20" s="20">
        <f>'[11]F 4 TRI _ Granulo'!E7</f>
        <v>0</v>
      </c>
      <c r="F20" s="19">
        <f>SUM(B20:E20)</f>
        <v>8.3000000000000007</v>
      </c>
      <c r="G20" s="21">
        <f>F20/$F$21</f>
        <v>0.10571302659170047</v>
      </c>
      <c r="H20" s="98"/>
      <c r="I20" s="101"/>
      <c r="J20" s="101"/>
    </row>
    <row r="21" spans="1:10" x14ac:dyDescent="0.25">
      <c r="A21" s="25" t="s">
        <v>25</v>
      </c>
      <c r="B21" s="90">
        <f>B20</f>
        <v>8.06</v>
      </c>
      <c r="C21" s="19">
        <f>SUM(C18:C20)</f>
        <v>41.614448669201515</v>
      </c>
      <c r="D21" s="19">
        <f>SUM(D18:D20)</f>
        <v>26.119999999999997</v>
      </c>
      <c r="E21" s="19">
        <f>SUM(E18:E20)</f>
        <v>2.7199999999999998</v>
      </c>
      <c r="F21" s="19">
        <f>SUM(B21:E21)</f>
        <v>78.514448669201514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0.10265626437700069</v>
      </c>
      <c r="C22" s="235">
        <f>C21/$F$21</f>
        <v>0.5300228094899101</v>
      </c>
      <c r="D22" s="235">
        <f>D21/$F$21</f>
        <v>0.33267762103315851</v>
      </c>
      <c r="E22" s="235">
        <f>E21/$F$21</f>
        <v>3.464330509993075E-2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Q21" sqref="Q21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'[12]F 1 _ Echant et Séchage'!D5</f>
        <v>ISS-A15-PB-PAR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'[12]F 1 _ Echant et Séchage'!D6</f>
        <v>AK 406 QT - 7E ARRDT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335"/>
      <c r="C4" s="335" t="str">
        <f>'[12]F 1 _ Echant et Séchage'!D8</f>
        <v>ISSEANE</v>
      </c>
      <c r="D4" s="335"/>
      <c r="E4" s="335"/>
      <c r="F4" s="335"/>
      <c r="G4" s="3"/>
      <c r="H4" s="3"/>
      <c r="I4" s="3"/>
      <c r="J4" s="3"/>
    </row>
    <row r="5" spans="1:10" x14ac:dyDescent="0.25">
      <c r="A5" s="1" t="s">
        <v>3</v>
      </c>
      <c r="B5" s="335"/>
      <c r="C5" s="335" t="str">
        <f>'[12]F 1 _ Echant et Séchage'!E15</f>
        <v>nuageux</v>
      </c>
      <c r="D5" s="335"/>
      <c r="E5" s="335"/>
      <c r="F5" s="335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'[12]F 1 _ Echant et Séchage'!B12</f>
        <v>42271</v>
      </c>
      <c r="C9" s="1"/>
      <c r="D9" s="337" t="s">
        <v>6</v>
      </c>
      <c r="E9" s="337"/>
      <c r="F9" s="337"/>
      <c r="G9" s="6">
        <f>'[12]F 1 _ Echant et Séchage'!G19</f>
        <v>127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'[12]F 1 _ Echant et Séchage'!E12</f>
        <v>19H20</v>
      </c>
      <c r="C10" s="1"/>
      <c r="D10" s="337" t="s">
        <v>9</v>
      </c>
      <c r="E10" s="337"/>
      <c r="F10" s="337"/>
      <c r="G10" s="335">
        <f>'[12]F 1 _ Echant et Séchage'!H26</f>
        <v>0.5</v>
      </c>
      <c r="H10" s="335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0.254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6">
        <f>'[12]F 1 _ Echant et Séchage'!D51</f>
        <v>0.30614173228346431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</row>
    <row r="18" spans="1:10" ht="25.5" x14ac:dyDescent="0.25">
      <c r="A18" s="334" t="s">
        <v>109</v>
      </c>
      <c r="B18" s="18" t="s">
        <v>111</v>
      </c>
      <c r="C18" s="19">
        <f>'[12]F 4 TRI _ Granulo'!K5</f>
        <v>27.272363636363629</v>
      </c>
      <c r="D18" s="20">
        <f>'[12]F 4 TRI _ Granulo'!H5</f>
        <v>31.659999999999997</v>
      </c>
      <c r="E18" s="20">
        <f>'[12]F 4 TRI _ Granulo'!E5</f>
        <v>0</v>
      </c>
      <c r="F18" s="20">
        <f>SUM(C18:E18)</f>
        <v>58.932363636363625</v>
      </c>
      <c r="G18" s="21">
        <f>F18/$F$21</f>
        <v>0.66288697618353232</v>
      </c>
      <c r="H18" s="98"/>
      <c r="I18" s="99"/>
      <c r="J18" s="99"/>
    </row>
    <row r="19" spans="1:10" ht="25.5" x14ac:dyDescent="0.25">
      <c r="A19" s="333" t="s">
        <v>110</v>
      </c>
      <c r="B19" s="18" t="s">
        <v>112</v>
      </c>
      <c r="C19" s="19">
        <f>'[12]F 4 TRI _ Granulo'!K6</f>
        <v>10.466690909090905</v>
      </c>
      <c r="D19" s="20">
        <f>'[12]F 4 TRI _ Granulo'!H6</f>
        <v>4.3600000000000003</v>
      </c>
      <c r="E19" s="20">
        <f>'[12]F 4 TRI _ Granulo'!E6</f>
        <v>7.12</v>
      </c>
      <c r="F19" s="20">
        <f>SUM(C19:E19)</f>
        <v>21.946690909090908</v>
      </c>
      <c r="G19" s="21">
        <f>F19/$F$21</f>
        <v>0.24686224472057464</v>
      </c>
      <c r="H19" s="98"/>
      <c r="I19" s="100"/>
      <c r="J19" s="100"/>
    </row>
    <row r="20" spans="1:10" x14ac:dyDescent="0.25">
      <c r="A20" s="22" t="s">
        <v>74</v>
      </c>
      <c r="B20" s="23">
        <f>'[12]F 3 _ Criblage et Tri'!C27+'[12]F 3 _ Criblage et Tri'!D27</f>
        <v>5.17</v>
      </c>
      <c r="C20" s="19">
        <f>'[12]F 4 TRI _ Granulo'!K7</f>
        <v>2.6535272727272745</v>
      </c>
      <c r="D20" s="20">
        <f>'[12]F 4 TRI _ Granulo'!H7</f>
        <v>0.20000000000000018</v>
      </c>
      <c r="E20" s="20">
        <f>'[12]F 4 TRI _ Granulo'!E7</f>
        <v>0</v>
      </c>
      <c r="F20" s="19">
        <f>SUM(B20:E20)</f>
        <v>8.0235272727272751</v>
      </c>
      <c r="G20" s="21">
        <f>F20/$F$21</f>
        <v>9.0250779095892936E-2</v>
      </c>
      <c r="H20" s="98"/>
      <c r="I20" s="101"/>
      <c r="J20" s="101"/>
    </row>
    <row r="21" spans="1:10" x14ac:dyDescent="0.25">
      <c r="A21" s="25" t="s">
        <v>25</v>
      </c>
      <c r="B21" s="90">
        <f>B20</f>
        <v>5.17</v>
      </c>
      <c r="C21" s="19">
        <f>SUM(C18:C20)</f>
        <v>40.39258181818181</v>
      </c>
      <c r="D21" s="19">
        <f>SUM(D18:D20)</f>
        <v>36.22</v>
      </c>
      <c r="E21" s="19">
        <f>SUM(E18:E20)</f>
        <v>7.12</v>
      </c>
      <c r="F21" s="19">
        <f>SUM(B21:E21)</f>
        <v>88.902581818181815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5.8153541711233665E-2</v>
      </c>
      <c r="C22" s="235">
        <f>C21/$F$21</f>
        <v>0.45434655543289254</v>
      </c>
      <c r="D22" s="235">
        <f>D21/$F$21</f>
        <v>0.40741223999630238</v>
      </c>
      <c r="E22" s="235">
        <f>E21/$F$21</f>
        <v>8.0087662859571321E-2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sqref="A1:J2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'[13]F 1 _ Echant et Séchage'!D5</f>
        <v>IVR-A15-PC-BAN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'[13]F 1 _ Echant et Séchage'!D6</f>
        <v>AL 445 MH - Vincennes Déchets Industriels et Commerciaux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335"/>
      <c r="C4" s="335" t="str">
        <f>'[13]F 1 _ Echant et Séchage'!D8</f>
        <v>IVRY</v>
      </c>
      <c r="D4" s="335"/>
      <c r="E4" s="335"/>
      <c r="F4" s="335"/>
      <c r="G4" s="3"/>
      <c r="H4" s="3"/>
      <c r="I4" s="3"/>
      <c r="J4" s="3"/>
    </row>
    <row r="5" spans="1:10" x14ac:dyDescent="0.25">
      <c r="A5" s="1" t="s">
        <v>3</v>
      </c>
      <c r="B5" s="335"/>
      <c r="C5" s="335" t="str">
        <f>'[13]F 1 _ Echant et Séchage'!E15</f>
        <v>sec, soirée</v>
      </c>
      <c r="D5" s="335"/>
      <c r="E5" s="335"/>
      <c r="F5" s="335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'[13]F 1 _ Echant et Séchage'!B12</f>
        <v>42270</v>
      </c>
      <c r="C9" s="1"/>
      <c r="D9" s="337" t="s">
        <v>6</v>
      </c>
      <c r="E9" s="337"/>
      <c r="F9" s="337"/>
      <c r="G9" s="6">
        <f>'[13]F 1 _ Echant et Séchage'!G19</f>
        <v>127.6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'[13]F 1 _ Echant et Séchage'!E12</f>
        <v>22H30</v>
      </c>
      <c r="C10" s="1"/>
      <c r="D10" s="337" t="s">
        <v>9</v>
      </c>
      <c r="E10" s="337"/>
      <c r="F10" s="337"/>
      <c r="G10" s="335">
        <f>'[13]F 1 _ Echant et Séchage'!H26</f>
        <v>0.4</v>
      </c>
      <c r="H10" s="335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0.31899999999999995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6">
        <f>'[13]F 1 _ Echant et Séchage'!D51</f>
        <v>0.48346394984326008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</row>
    <row r="18" spans="1:10" ht="25.5" x14ac:dyDescent="0.25">
      <c r="A18" s="334" t="s">
        <v>109</v>
      </c>
      <c r="B18" s="18" t="s">
        <v>111</v>
      </c>
      <c r="C18" s="19">
        <f>'[13]F 4 TRI _ Granulo'!K5</f>
        <v>18.088000000000001</v>
      </c>
      <c r="D18" s="20">
        <f>'[13]F 4 TRI _ Granulo'!H5</f>
        <v>19.2</v>
      </c>
      <c r="E18" s="20">
        <f>'[13]F 4 TRI _ Granulo'!E5</f>
        <v>13.28</v>
      </c>
      <c r="F18" s="20">
        <f>SUM(C18:E18)</f>
        <v>50.567999999999998</v>
      </c>
      <c r="G18" s="21">
        <f>F18/$F$21</f>
        <v>0.77380733776488286</v>
      </c>
      <c r="H18" s="98"/>
      <c r="I18" s="99"/>
      <c r="J18" s="99"/>
    </row>
    <row r="19" spans="1:10" ht="25.5" x14ac:dyDescent="0.25">
      <c r="A19" s="333" t="s">
        <v>110</v>
      </c>
      <c r="B19" s="18" t="s">
        <v>112</v>
      </c>
      <c r="C19" s="19">
        <f>'[13]F 4 TRI _ Granulo'!K6</f>
        <v>3.9984000000000015</v>
      </c>
      <c r="D19" s="20">
        <f>'[13]F 4 TRI _ Granulo'!H6</f>
        <v>4.78</v>
      </c>
      <c r="E19" s="20">
        <f>'[13]F 4 TRI _ Granulo'!E6</f>
        <v>0</v>
      </c>
      <c r="F19" s="20">
        <f>SUM(C19:E19)</f>
        <v>8.7784000000000013</v>
      </c>
      <c r="G19" s="21">
        <f>F19/$F$21</f>
        <v>0.13432981992238668</v>
      </c>
      <c r="H19" s="98"/>
      <c r="I19" s="100"/>
      <c r="J19" s="100"/>
    </row>
    <row r="20" spans="1:10" x14ac:dyDescent="0.25">
      <c r="A20" s="22" t="s">
        <v>74</v>
      </c>
      <c r="B20" s="23">
        <f>'[13]F 3 _ Criblage et Tri'!C27+'[13]F 3 _ Criblage et Tri'!D27</f>
        <v>4.3400000000000007</v>
      </c>
      <c r="C20" s="19">
        <f>'[13]F 4 TRI _ Granulo'!K7</f>
        <v>1.5232000000000014</v>
      </c>
      <c r="D20" s="20">
        <f>'[13]F 4 TRI _ Granulo'!H7</f>
        <v>0.14000000000000012</v>
      </c>
      <c r="E20" s="20">
        <f>'[13]F 4 TRI _ Granulo'!E7</f>
        <v>0</v>
      </c>
      <c r="F20" s="19">
        <f>SUM(B20:E20)</f>
        <v>6.0032000000000032</v>
      </c>
      <c r="G20" s="21">
        <f>F20/$F$21</f>
        <v>9.1862842312730342E-2</v>
      </c>
      <c r="H20" s="98"/>
      <c r="I20" s="101"/>
      <c r="J20" s="101"/>
    </row>
    <row r="21" spans="1:10" x14ac:dyDescent="0.25">
      <c r="A21" s="25" t="s">
        <v>25</v>
      </c>
      <c r="B21" s="90">
        <f>B20</f>
        <v>4.3400000000000007</v>
      </c>
      <c r="C21" s="19">
        <f>SUM(C18:C20)</f>
        <v>23.609600000000004</v>
      </c>
      <c r="D21" s="19">
        <f>SUM(D18:D20)</f>
        <v>24.12</v>
      </c>
      <c r="E21" s="19">
        <f>SUM(E18:E20)</f>
        <v>13.28</v>
      </c>
      <c r="F21" s="19">
        <f>SUM(B21:E21)</f>
        <v>65.349600000000009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6.6412036186908566E-2</v>
      </c>
      <c r="C22" s="235">
        <f>C21/$F$21</f>
        <v>0.36128147685678258</v>
      </c>
      <c r="D22" s="235">
        <f>D21/$F$21</f>
        <v>0.36909177714936275</v>
      </c>
      <c r="E22" s="235">
        <f>E21/$F$21</f>
        <v>0.20321470980694598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S22" sqref="S22"/>
    </sheetView>
  </sheetViews>
  <sheetFormatPr baseColWidth="10"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 t="s">
        <v>0</v>
      </c>
      <c r="B2" s="336" t="str">
        <f>'[14]F 1 _ Echant et Séchage'!D5</f>
        <v>IVR-A15-PC-PAR</v>
      </c>
      <c r="C2" s="336"/>
      <c r="D2" s="336"/>
      <c r="E2" s="336"/>
      <c r="F2" s="336"/>
      <c r="G2" s="2"/>
      <c r="H2" s="2"/>
      <c r="I2" s="2"/>
      <c r="J2" s="2"/>
      <c r="K2" s="1"/>
    </row>
    <row r="3" spans="1:11" x14ac:dyDescent="0.25">
      <c r="A3" s="1" t="s">
        <v>1</v>
      </c>
      <c r="B3" s="343" t="str">
        <f>'[14]F 1 _ Echant et Séchage'!D6</f>
        <v>463 QPG 75 - 12E ARRDT</v>
      </c>
      <c r="C3" s="343"/>
      <c r="D3" s="343"/>
      <c r="E3" s="343"/>
      <c r="F3" s="343"/>
      <c r="G3" s="3"/>
      <c r="H3" s="3"/>
      <c r="I3" s="3"/>
      <c r="J3" s="3"/>
      <c r="K3" s="1"/>
    </row>
    <row r="4" spans="1:11" x14ac:dyDescent="0.25">
      <c r="A4" s="1" t="s">
        <v>2</v>
      </c>
      <c r="B4" s="335"/>
      <c r="C4" s="335" t="str">
        <f>'[14]F 1 _ Echant et Séchage'!D8</f>
        <v>IVRY</v>
      </c>
      <c r="D4" s="335"/>
      <c r="E4" s="335"/>
      <c r="F4" s="335"/>
      <c r="G4" s="3"/>
      <c r="H4" s="3"/>
      <c r="I4" s="3"/>
      <c r="J4" s="3"/>
      <c r="K4" s="1"/>
    </row>
    <row r="5" spans="1:11" x14ac:dyDescent="0.25">
      <c r="A5" s="1" t="s">
        <v>3</v>
      </c>
      <c r="B5" s="335"/>
      <c r="C5" s="335" t="str">
        <f>'[14]F 1 _ Echant et Séchage'!E15</f>
        <v>sec, fin de journée</v>
      </c>
      <c r="D5" s="335"/>
      <c r="E5" s="335"/>
      <c r="F5" s="335"/>
      <c r="G5" s="3"/>
      <c r="H5" s="3"/>
      <c r="I5" s="3"/>
      <c r="J5" s="3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4"/>
      <c r="J8" s="1"/>
      <c r="K8" s="1"/>
    </row>
    <row r="9" spans="1:11" x14ac:dyDescent="0.25">
      <c r="A9" s="1" t="s">
        <v>5</v>
      </c>
      <c r="B9" s="5">
        <f>'[14]F 1 _ Echant et Séchage'!B12</f>
        <v>42270</v>
      </c>
      <c r="C9" s="1"/>
      <c r="D9" s="337" t="s">
        <v>6</v>
      </c>
      <c r="E9" s="337"/>
      <c r="F9" s="337"/>
      <c r="G9" s="6">
        <f>'[14]F 1 _ Echant et Séchage'!G19</f>
        <v>125.5</v>
      </c>
      <c r="H9" s="6"/>
      <c r="I9" s="7"/>
      <c r="J9" s="1" t="s">
        <v>7</v>
      </c>
      <c r="K9" s="1"/>
    </row>
    <row r="10" spans="1:11" x14ac:dyDescent="0.25">
      <c r="A10" s="1" t="s">
        <v>8</v>
      </c>
      <c r="B10" s="8" t="str">
        <f>'[14]F 1 _ Echant et Séchage'!E12</f>
        <v>18H40</v>
      </c>
      <c r="C10" s="1"/>
      <c r="D10" s="337" t="s">
        <v>9</v>
      </c>
      <c r="E10" s="337"/>
      <c r="F10" s="337"/>
      <c r="G10" s="335">
        <f>'[14]F 1 _ Echant et Séchage'!H26</f>
        <v>0.4</v>
      </c>
      <c r="H10" s="335"/>
      <c r="I10" s="9"/>
      <c r="J10" s="1" t="s">
        <v>10</v>
      </c>
      <c r="K10" s="1"/>
    </row>
    <row r="11" spans="1:11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0.31374999999999997</v>
      </c>
      <c r="H11" s="10"/>
      <c r="I11" s="3"/>
      <c r="J11" s="3" t="s">
        <v>12</v>
      </c>
      <c r="K11" s="1"/>
    </row>
    <row r="12" spans="1:11" x14ac:dyDescent="0.25">
      <c r="A12" s="1"/>
      <c r="B12" s="7"/>
      <c r="C12" s="1"/>
      <c r="D12" s="337" t="s">
        <v>13</v>
      </c>
      <c r="E12" s="337"/>
      <c r="F12" s="337"/>
      <c r="G12" s="236">
        <f>'[14]F 1 _ Echant et Séchage'!D51</f>
        <v>0.36462151394422304</v>
      </c>
      <c r="H12" s="11"/>
      <c r="I12" s="11"/>
      <c r="J12" s="1"/>
      <c r="K12" s="1"/>
    </row>
    <row r="13" spans="1:11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  <c r="K13" s="1"/>
    </row>
    <row r="14" spans="1:11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  <c r="K14" s="1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"/>
    </row>
    <row r="16" spans="1:11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  <c r="K16" s="1"/>
    </row>
    <row r="17" spans="1:11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  <c r="K17" s="1"/>
    </row>
    <row r="18" spans="1:11" ht="25.5" x14ac:dyDescent="0.25">
      <c r="A18" s="334" t="s">
        <v>109</v>
      </c>
      <c r="B18" s="18" t="s">
        <v>111</v>
      </c>
      <c r="C18" s="19">
        <f>'[14]F 4 TRI _ Granulo'!K5</f>
        <v>32.02932203389831</v>
      </c>
      <c r="D18" s="20">
        <f>'[14]F 4 TRI _ Granulo'!H5</f>
        <v>21.980000000000004</v>
      </c>
      <c r="E18" s="20">
        <f>'[14]F 4 TRI _ Granulo'!E5</f>
        <v>0</v>
      </c>
      <c r="F18" s="20">
        <f>SUM(C18:E18)</f>
        <v>54.009322033898314</v>
      </c>
      <c r="G18" s="21">
        <f>F18/$F$21</f>
        <v>0.68634303259135931</v>
      </c>
      <c r="H18" s="98"/>
      <c r="I18" s="99"/>
      <c r="J18" s="99"/>
      <c r="K18" s="1"/>
    </row>
    <row r="19" spans="1:11" ht="25.5" x14ac:dyDescent="0.25">
      <c r="A19" s="333" t="s">
        <v>110</v>
      </c>
      <c r="B19" s="18" t="s">
        <v>112</v>
      </c>
      <c r="C19" s="19">
        <f>'[14]F 4 TRI _ Granulo'!K6</f>
        <v>12.851271186440677</v>
      </c>
      <c r="D19" s="20">
        <f>'[14]F 4 TRI _ Granulo'!H6</f>
        <v>3.6000000000000005</v>
      </c>
      <c r="E19" s="20">
        <f>'[14]F 4 TRI _ Granulo'!E6</f>
        <v>0</v>
      </c>
      <c r="F19" s="20">
        <f>SUM(C19:E19)</f>
        <v>16.451271186440678</v>
      </c>
      <c r="G19" s="21">
        <f>F19/$F$21</f>
        <v>0.20906049050194978</v>
      </c>
      <c r="H19" s="98"/>
      <c r="I19" s="100"/>
      <c r="J19" s="100"/>
      <c r="K19" s="1"/>
    </row>
    <row r="20" spans="1:11" x14ac:dyDescent="0.25">
      <c r="A20" s="22" t="s">
        <v>74</v>
      </c>
      <c r="B20" s="23">
        <f>'[14]F 3 _ Criblage et Tri'!C27+'[14]F 3 _ Criblage et Tri'!D27</f>
        <v>7.2200000000000006</v>
      </c>
      <c r="C20" s="19">
        <f>'[14]F 4 TRI _ Granulo'!K7</f>
        <v>0.7908474576271195</v>
      </c>
      <c r="D20" s="20">
        <f>'[14]F 4 TRI _ Granulo'!H7</f>
        <v>0.2200000000000002</v>
      </c>
      <c r="E20" s="20">
        <f>'[14]F 4 TRI _ Granulo'!E7</f>
        <v>0</v>
      </c>
      <c r="F20" s="19">
        <f>SUM(B20:E20)</f>
        <v>8.2308474576271209</v>
      </c>
      <c r="G20" s="21">
        <f>F20/$F$21</f>
        <v>0.10459647690669092</v>
      </c>
      <c r="H20" s="98"/>
      <c r="I20" s="101"/>
      <c r="J20" s="101"/>
      <c r="K20" s="1"/>
    </row>
    <row r="21" spans="1:11" x14ac:dyDescent="0.25">
      <c r="A21" s="25" t="s">
        <v>25</v>
      </c>
      <c r="B21" s="90">
        <f>B20</f>
        <v>7.2200000000000006</v>
      </c>
      <c r="C21" s="19">
        <f>SUM(C18:C20)</f>
        <v>45.671440677966103</v>
      </c>
      <c r="D21" s="19">
        <f>SUM(D18:D20)</f>
        <v>25.800000000000004</v>
      </c>
      <c r="E21" s="19">
        <f>SUM(E18:E20)</f>
        <v>0</v>
      </c>
      <c r="F21" s="19">
        <f>SUM(B21:E21)</f>
        <v>78.691440677966114</v>
      </c>
      <c r="G21" s="21">
        <f>F21/$F$21</f>
        <v>1</v>
      </c>
      <c r="H21" s="98"/>
      <c r="I21" s="101"/>
      <c r="J21" s="101"/>
      <c r="K21" s="1"/>
    </row>
    <row r="22" spans="1:11" ht="51.75" x14ac:dyDescent="0.25">
      <c r="A22" s="26" t="s">
        <v>75</v>
      </c>
      <c r="B22" s="235">
        <f>B21/$F$21</f>
        <v>9.1750766510259443E-2</v>
      </c>
      <c r="C22" s="235">
        <f>C21/$F$21</f>
        <v>0.58038638363313466</v>
      </c>
      <c r="D22" s="235">
        <f>D21/$F$21</f>
        <v>0.3278628498566058</v>
      </c>
      <c r="E22" s="235">
        <f>E21/$F$21</f>
        <v>0</v>
      </c>
      <c r="F22" s="235">
        <f>F21/$F$21</f>
        <v>1</v>
      </c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22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'[15]F 1 _ Echant et Séchage'!D5</f>
        <v>ROM-A15-PC-BAN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'[15]F 1 _ Echant et Séchage'!D6</f>
        <v>CT 521 KJ - PANTIN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335"/>
      <c r="C4" s="335" t="str">
        <f>'[15]F 1 _ Echant et Séchage'!D8</f>
        <v>ROMAINVILLE</v>
      </c>
      <c r="D4" s="335"/>
      <c r="E4" s="335"/>
      <c r="F4" s="335"/>
      <c r="G4" s="3"/>
      <c r="H4" s="3"/>
      <c r="I4" s="3"/>
      <c r="J4" s="3"/>
    </row>
    <row r="5" spans="1:10" x14ac:dyDescent="0.25">
      <c r="A5" s="1" t="s">
        <v>3</v>
      </c>
      <c r="B5" s="335"/>
      <c r="C5" s="335" t="str">
        <f>'[15]F 1 _ Echant et Séchage'!E15</f>
        <v>humide, nuageux</v>
      </c>
      <c r="D5" s="335"/>
      <c r="E5" s="335"/>
      <c r="F5" s="335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'[15]F 1 _ Echant et Séchage'!B12</f>
        <v>42263</v>
      </c>
      <c r="C9" s="1"/>
      <c r="D9" s="337" t="s">
        <v>6</v>
      </c>
      <c r="E9" s="337"/>
      <c r="F9" s="337"/>
      <c r="G9" s="6">
        <f>'[15]F 1 _ Echant et Séchage'!G19</f>
        <v>126.20000000000002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'[15]F 1 _ Echant et Séchage'!E12</f>
        <v>9h45</v>
      </c>
      <c r="C10" s="1"/>
      <c r="D10" s="337" t="s">
        <v>9</v>
      </c>
      <c r="E10" s="337"/>
      <c r="F10" s="337"/>
      <c r="G10" s="335">
        <f>'[15]F 1 _ Echant et Séchage'!H26</f>
        <v>0.42000000000000004</v>
      </c>
      <c r="H10" s="335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0.30047619047619045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6">
        <f>'[15]F 1 _ Echant et Séchage'!D51</f>
        <v>0.44405705229794001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</row>
    <row r="18" spans="1:10" ht="25.5" x14ac:dyDescent="0.25">
      <c r="A18" s="334" t="s">
        <v>109</v>
      </c>
      <c r="B18" s="18" t="s">
        <v>111</v>
      </c>
      <c r="C18" s="19">
        <f>'[15]F 4 TRI _ Granulo'!K5</f>
        <v>19.877837837837841</v>
      </c>
      <c r="D18" s="20">
        <f>'[15]F 4 TRI _ Granulo'!H5</f>
        <v>17.559999999999995</v>
      </c>
      <c r="E18" s="20">
        <f>'[15]F 4 TRI _ Granulo'!E5</f>
        <v>3.76</v>
      </c>
      <c r="F18" s="20">
        <f>SUM(C18:E18)</f>
        <v>41.197837837837831</v>
      </c>
      <c r="G18" s="21">
        <f>F18/$F$21</f>
        <v>0.60696026120888735</v>
      </c>
      <c r="H18" s="98"/>
      <c r="I18" s="99"/>
      <c r="J18" s="99"/>
    </row>
    <row r="19" spans="1:10" ht="25.5" x14ac:dyDescent="0.25">
      <c r="A19" s="333" t="s">
        <v>110</v>
      </c>
      <c r="B19" s="18" t="s">
        <v>112</v>
      </c>
      <c r="C19" s="19">
        <f>'[15]F 4 TRI _ Granulo'!K6</f>
        <v>7.4848648648648641</v>
      </c>
      <c r="D19" s="20">
        <f>'[15]F 4 TRI _ Granulo'!H6</f>
        <v>2.6800000000000006</v>
      </c>
      <c r="E19" s="20">
        <f>'[15]F 4 TRI _ Granulo'!E6</f>
        <v>1</v>
      </c>
      <c r="F19" s="20">
        <f>SUM(C19:E19)</f>
        <v>11.164864864864864</v>
      </c>
      <c r="G19" s="21">
        <f>F19/$F$21</f>
        <v>0.16448992593772396</v>
      </c>
      <c r="H19" s="98"/>
      <c r="I19" s="100"/>
      <c r="J19" s="100"/>
    </row>
    <row r="20" spans="1:10" x14ac:dyDescent="0.25">
      <c r="A20" s="22" t="s">
        <v>74</v>
      </c>
      <c r="B20" s="23">
        <f>'[15]F 3 _ Criblage et Tri'!C27+'[15]F 3 _ Criblage et Tri'!D27</f>
        <v>11.780000000000001</v>
      </c>
      <c r="C20" s="19">
        <f>'[15]F 4 TRI _ Granulo'!K7</f>
        <v>3.3129729729729731</v>
      </c>
      <c r="D20" s="20">
        <f>'[15]F 4 TRI _ Granulo'!H7</f>
        <v>0.42000000000000037</v>
      </c>
      <c r="E20" s="20">
        <f>'[15]F 4 TRI _ Granulo'!E7</f>
        <v>0</v>
      </c>
      <c r="F20" s="19">
        <f>SUM(B20:E20)</f>
        <v>15.512972972972975</v>
      </c>
      <c r="G20" s="21">
        <f>F20/$F$21</f>
        <v>0.22854981285338855</v>
      </c>
      <c r="H20" s="98"/>
      <c r="I20" s="101"/>
      <c r="J20" s="101"/>
    </row>
    <row r="21" spans="1:10" x14ac:dyDescent="0.25">
      <c r="A21" s="25" t="s">
        <v>25</v>
      </c>
      <c r="B21" s="90">
        <f>B20</f>
        <v>11.780000000000001</v>
      </c>
      <c r="C21" s="19">
        <f>SUM(C18:C20)</f>
        <v>30.675675675675677</v>
      </c>
      <c r="D21" s="19">
        <f>SUM(D18:D20)</f>
        <v>20.659999999999997</v>
      </c>
      <c r="E21" s="19">
        <f>SUM(E18:E20)</f>
        <v>4.76</v>
      </c>
      <c r="F21" s="19">
        <f>SUM(B21:E21)</f>
        <v>67.87567567567568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0.17355260014334634</v>
      </c>
      <c r="C22" s="235">
        <f>C21/$F$21</f>
        <v>0.4519391574420642</v>
      </c>
      <c r="D22" s="235">
        <f>D21/$F$21</f>
        <v>0.30438002707653095</v>
      </c>
      <c r="E22" s="235">
        <f>E21/$F$21</f>
        <v>7.012821533805845E-2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28" sqref="Q28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'[16]F 1 _ Echant et Séchage'!D5</f>
        <v>ROM-A15-PC-PAR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'[16]F 1 _ Echant et Séchage'!D6</f>
        <v>DF 871 MM 20E ARR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335"/>
      <c r="C4" s="335" t="str">
        <f>'[16]F 1 _ Echant et Séchage'!D8</f>
        <v>Romainville</v>
      </c>
      <c r="D4" s="335"/>
      <c r="E4" s="335"/>
      <c r="F4" s="335"/>
      <c r="G4" s="3"/>
      <c r="H4" s="3"/>
      <c r="I4" s="3"/>
      <c r="J4" s="3"/>
    </row>
    <row r="5" spans="1:10" x14ac:dyDescent="0.25">
      <c r="A5" s="1" t="s">
        <v>3</v>
      </c>
      <c r="B5" s="335"/>
      <c r="C5" s="335" t="str">
        <f>'[16]F 1 _ Echant et Séchage'!E15</f>
        <v>humide, nuageux, pluvieux</v>
      </c>
      <c r="D5" s="335"/>
      <c r="E5" s="335"/>
      <c r="F5" s="335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'[16]F 1 _ Echant et Séchage'!B12</f>
        <v>42263</v>
      </c>
      <c r="C9" s="1"/>
      <c r="D9" s="337" t="s">
        <v>6</v>
      </c>
      <c r="E9" s="337"/>
      <c r="F9" s="337"/>
      <c r="G9" s="6">
        <f>'[16]F 1 _ Echant et Séchage'!G19</f>
        <v>125.80000000000001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'[16]F 1 _ Echant et Séchage'!E12</f>
        <v>8H40</v>
      </c>
      <c r="C10" s="1"/>
      <c r="D10" s="337" t="s">
        <v>9</v>
      </c>
      <c r="E10" s="337"/>
      <c r="F10" s="337"/>
      <c r="G10" s="335">
        <f>'[16]F 1 _ Echant et Séchage'!H26</f>
        <v>0.5</v>
      </c>
      <c r="H10" s="335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0.25160000000000005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1">
        <f>'[16]F 1 _ Echant et Séchage'!D51</f>
        <v>0.38918918918918921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</row>
    <row r="18" spans="1:10" ht="25.5" x14ac:dyDescent="0.25">
      <c r="A18" s="334" t="s">
        <v>109</v>
      </c>
      <c r="B18" s="18" t="s">
        <v>111</v>
      </c>
      <c r="C18" s="19">
        <f>'[16]F 4 TRI _ Granulo'!K5</f>
        <v>27.03937500000001</v>
      </c>
      <c r="D18" s="20">
        <f>'[16]F 4 TRI _ Granulo'!H5</f>
        <v>34.800000000000004</v>
      </c>
      <c r="E18" s="20">
        <f>'[16]F 4 TRI _ Granulo'!E5</f>
        <v>0</v>
      </c>
      <c r="F18" s="20">
        <f>SUM(C18:E18)</f>
        <v>61.839375000000018</v>
      </c>
      <c r="G18" s="21">
        <f>F18/$F$21</f>
        <v>0.79339737627096896</v>
      </c>
      <c r="H18" s="98"/>
      <c r="I18" s="99"/>
      <c r="J18" s="99"/>
    </row>
    <row r="19" spans="1:10" ht="25.5" x14ac:dyDescent="0.25">
      <c r="A19" s="333" t="s">
        <v>110</v>
      </c>
      <c r="B19" s="18" t="s">
        <v>112</v>
      </c>
      <c r="C19" s="19">
        <f>'[16]F 4 TRI _ Granulo'!K6</f>
        <v>4.9162500000000016</v>
      </c>
      <c r="D19" s="20">
        <f>'[16]F 4 TRI _ Granulo'!H6</f>
        <v>4.62</v>
      </c>
      <c r="E19" s="20">
        <f>'[16]F 4 TRI _ Granulo'!E6</f>
        <v>0</v>
      </c>
      <c r="F19" s="20">
        <f>SUM(C19:E19)</f>
        <v>9.5362500000000026</v>
      </c>
      <c r="G19" s="21">
        <f>F19/$F$21</f>
        <v>0.12234980915418417</v>
      </c>
      <c r="H19" s="98"/>
      <c r="I19" s="100"/>
      <c r="J19" s="100"/>
    </row>
    <row r="20" spans="1:10" x14ac:dyDescent="0.25">
      <c r="A20" s="22" t="s">
        <v>74</v>
      </c>
      <c r="B20" s="23">
        <f>'[16]F 3 _ Criblage et Tri'!C27+'[16]F 3 _ Criblage et Tri'!D27</f>
        <v>5.58</v>
      </c>
      <c r="C20" s="19">
        <f>'[16]F 4 TRI _ Granulo'!K7</f>
        <v>0.64687500000000064</v>
      </c>
      <c r="D20" s="20">
        <f>'[16]F 4 TRI _ Granulo'!H7</f>
        <v>0.3400000000000003</v>
      </c>
      <c r="E20" s="20">
        <f>'[16]F 4 TRI _ Granulo'!E7</f>
        <v>0</v>
      </c>
      <c r="F20" s="19">
        <f>SUM(B20:E20)</f>
        <v>6.5668750000000014</v>
      </c>
      <c r="G20" s="21">
        <f>F20/$F$21</f>
        <v>8.4252814574846832E-2</v>
      </c>
      <c r="H20" s="98"/>
      <c r="I20" s="101"/>
      <c r="J20" s="101"/>
    </row>
    <row r="21" spans="1:10" x14ac:dyDescent="0.25">
      <c r="A21" s="25" t="s">
        <v>25</v>
      </c>
      <c r="B21" s="90">
        <f>B20</f>
        <v>5.58</v>
      </c>
      <c r="C21" s="19">
        <f>SUM(C18:C20)</f>
        <v>32.602500000000013</v>
      </c>
      <c r="D21" s="19">
        <f>SUM(D18:D20)</f>
        <v>39.760000000000005</v>
      </c>
      <c r="E21" s="19">
        <f>SUM(E18:E20)</f>
        <v>0</v>
      </c>
      <c r="F21" s="19">
        <f>SUM(B21:E21)</f>
        <v>77.942500000000024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7.1591237129935509E-2</v>
      </c>
      <c r="C22" s="235">
        <f>C21/$F$21</f>
        <v>0.41828912339224433</v>
      </c>
      <c r="D22" s="235">
        <f>D21/$F$21</f>
        <v>0.51011963947782013</v>
      </c>
      <c r="E22" s="235">
        <f>E21/$F$21</f>
        <v>0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B11:C11"/>
    <mergeCell ref="D11:F11"/>
    <mergeCell ref="B2:F2"/>
    <mergeCell ref="B3:F3"/>
    <mergeCell ref="A7:J7"/>
    <mergeCell ref="D9:F9"/>
    <mergeCell ref="D10:F10"/>
    <mergeCell ref="D12:F12"/>
    <mergeCell ref="A14:J14"/>
    <mergeCell ref="G16:G17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25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'[17]F 1 _ Echant et Séchage'!D5</f>
        <v>STO-A15-PC-BAN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'[17]F 1 _ Echant et Séchage'!D6</f>
        <v>CL 437 SW - EPINAY SUR SEINE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335"/>
      <c r="C4" s="335" t="str">
        <f>'[17]F 1 _ Echant et Séchage'!D8</f>
        <v>SAINT OUEN</v>
      </c>
      <c r="D4" s="335"/>
      <c r="E4" s="335"/>
      <c r="F4" s="335"/>
      <c r="G4" s="3"/>
      <c r="H4" s="3"/>
      <c r="I4" s="3"/>
      <c r="J4" s="3"/>
    </row>
    <row r="5" spans="1:10" x14ac:dyDescent="0.25">
      <c r="A5" s="1" t="s">
        <v>3</v>
      </c>
      <c r="B5" s="335"/>
      <c r="C5" s="335" t="str">
        <f>'[17]F 1 _ Echant et Séchage'!E15</f>
        <v>nuageux</v>
      </c>
      <c r="D5" s="335"/>
      <c r="E5" s="335"/>
      <c r="F5" s="335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'[17]F 1 _ Echant et Séchage'!B12</f>
        <v>42264</v>
      </c>
      <c r="C9" s="1"/>
      <c r="D9" s="337" t="s">
        <v>6</v>
      </c>
      <c r="E9" s="337"/>
      <c r="F9" s="337"/>
      <c r="G9" s="6">
        <f>'[17]F 1 _ Echant et Séchage'!G19</f>
        <v>125.89999999999999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'[17]F 1 _ Echant et Séchage'!E12</f>
        <v>9H20</v>
      </c>
      <c r="C10" s="1"/>
      <c r="D10" s="337" t="s">
        <v>9</v>
      </c>
      <c r="E10" s="337"/>
      <c r="F10" s="337"/>
      <c r="G10" s="335">
        <f>'[17]F 1 _ Echant et Séchage'!H26</f>
        <v>0.45</v>
      </c>
      <c r="H10" s="335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0.27977777777777774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1">
        <f>'[17]F 1 _ Echant et Séchage'!D51</f>
        <v>0.45035742652899108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</row>
    <row r="18" spans="1:10" ht="25.5" x14ac:dyDescent="0.25">
      <c r="A18" s="334" t="s">
        <v>109</v>
      </c>
      <c r="B18" s="18" t="s">
        <v>111</v>
      </c>
      <c r="C18" s="19">
        <f>'[17]F 4 TRI _ Granulo'!K5</f>
        <v>29.793306122448982</v>
      </c>
      <c r="D18" s="20">
        <f>'[17]F 4 TRI _ Granulo'!H5</f>
        <v>24.560000000000002</v>
      </c>
      <c r="E18" s="20">
        <f>'[17]F 4 TRI _ Granulo'!E5</f>
        <v>4.9400000000000004</v>
      </c>
      <c r="F18" s="20">
        <f>SUM(C18:E18)</f>
        <v>59.293306122448982</v>
      </c>
      <c r="G18" s="21">
        <f>F18/$F$21</f>
        <v>0.84271327632815474</v>
      </c>
      <c r="H18" s="98"/>
      <c r="I18" s="99"/>
      <c r="J18" s="99"/>
    </row>
    <row r="19" spans="1:10" ht="25.5" x14ac:dyDescent="0.25">
      <c r="A19" s="333" t="s">
        <v>110</v>
      </c>
      <c r="B19" s="18" t="s">
        <v>112</v>
      </c>
      <c r="C19" s="19">
        <f>'[17]F 4 TRI _ Granulo'!K6</f>
        <v>2.0130612244897979</v>
      </c>
      <c r="D19" s="20">
        <f>'[17]F 4 TRI _ Granulo'!H6</f>
        <v>1.1200000000000001</v>
      </c>
      <c r="E19" s="20">
        <f>'[17]F 4 TRI _ Granulo'!E6</f>
        <v>0</v>
      </c>
      <c r="F19" s="20">
        <f>SUM(C19:E19)</f>
        <v>3.133061224489798</v>
      </c>
      <c r="G19" s="21">
        <f>F19/$F$21</f>
        <v>4.4529011149656017E-2</v>
      </c>
      <c r="H19" s="98"/>
      <c r="I19" s="100"/>
      <c r="J19" s="100"/>
    </row>
    <row r="20" spans="1:10" x14ac:dyDescent="0.25">
      <c r="A20" s="22" t="s">
        <v>74</v>
      </c>
      <c r="B20" s="23">
        <f>'[17]F 3 _ Criblage et Tri'!C27+'[17]F 3 _ Criblage et Tri'!D27</f>
        <v>6.5600000000000005</v>
      </c>
      <c r="C20" s="19">
        <f>'[17]F 4 TRI _ Granulo'!K7</f>
        <v>1.0736326530612255</v>
      </c>
      <c r="D20" s="20">
        <f>'[17]F 4 TRI _ Granulo'!H7</f>
        <v>0.30000000000000027</v>
      </c>
      <c r="E20" s="20">
        <f>'[17]F 4 TRI _ Granulo'!E7</f>
        <v>0</v>
      </c>
      <c r="F20" s="19">
        <f>SUM(B20:E20)</f>
        <v>7.9336326530612258</v>
      </c>
      <c r="G20" s="21">
        <f>F20/$F$21</f>
        <v>0.11275771252218909</v>
      </c>
      <c r="H20" s="98"/>
      <c r="I20" s="101"/>
      <c r="J20" s="101"/>
    </row>
    <row r="21" spans="1:10" x14ac:dyDescent="0.25">
      <c r="A21" s="25" t="s">
        <v>25</v>
      </c>
      <c r="B21" s="90">
        <f>B20</f>
        <v>6.5600000000000005</v>
      </c>
      <c r="C21" s="19">
        <f>SUM(C18:C20)</f>
        <v>32.880000000000003</v>
      </c>
      <c r="D21" s="19">
        <f>SUM(D18:D20)</f>
        <v>25.980000000000004</v>
      </c>
      <c r="E21" s="19">
        <f>SUM(E18:E20)</f>
        <v>4.9400000000000004</v>
      </c>
      <c r="F21" s="19">
        <f>SUM(B21:E21)</f>
        <v>70.360000000000014</v>
      </c>
      <c r="G21" s="21">
        <f>F21/$F$21</f>
        <v>1</v>
      </c>
      <c r="H21" s="98"/>
      <c r="I21" s="101"/>
      <c r="J21" s="101"/>
    </row>
    <row r="22" spans="1:10" ht="51.75" x14ac:dyDescent="0.25">
      <c r="A22" s="26" t="s">
        <v>75</v>
      </c>
      <c r="B22" s="235">
        <f>B21/$F$21</f>
        <v>9.3234792495736199E-2</v>
      </c>
      <c r="C22" s="235">
        <f>C21/$F$21</f>
        <v>0.46731097214326317</v>
      </c>
      <c r="D22" s="235">
        <f>D21/$F$21</f>
        <v>0.36924388857305285</v>
      </c>
      <c r="E22" s="235">
        <f>E21/$F$21</f>
        <v>7.0210346787947686E-2</v>
      </c>
      <c r="F22" s="235">
        <f>F21/$F$21</f>
        <v>1</v>
      </c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S29" sqref="S29"/>
    </sheetView>
  </sheetViews>
  <sheetFormatPr baseColWidth="10"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1" t="s">
        <v>0</v>
      </c>
      <c r="B2" s="336" t="str">
        <f>'[18]F 1 _ Echant et Séchage'!D5</f>
        <v>STO-A15-PC-PAR</v>
      </c>
      <c r="C2" s="336"/>
      <c r="D2" s="336"/>
      <c r="E2" s="336"/>
      <c r="F2" s="336"/>
      <c r="G2" s="2"/>
      <c r="H2" s="2"/>
      <c r="I2" s="2"/>
      <c r="J2" s="2"/>
      <c r="K2" s="1"/>
    </row>
    <row r="3" spans="1:11" x14ac:dyDescent="0.25">
      <c r="A3" s="1" t="s">
        <v>1</v>
      </c>
      <c r="B3" s="343" t="str">
        <f>'[18]F 1 _ Echant et Séchage'!D6</f>
        <v>917 QCA 75</v>
      </c>
      <c r="C3" s="343"/>
      <c r="D3" s="343"/>
      <c r="E3" s="343"/>
      <c r="F3" s="343"/>
      <c r="G3" s="3"/>
      <c r="H3" s="3"/>
      <c r="I3" s="3"/>
      <c r="J3" s="3"/>
      <c r="K3" s="1"/>
    </row>
    <row r="4" spans="1:11" x14ac:dyDescent="0.25">
      <c r="A4" s="1" t="s">
        <v>2</v>
      </c>
      <c r="B4" s="335"/>
      <c r="C4" s="335" t="str">
        <f>'[18]F 1 _ Echant et Séchage'!D8</f>
        <v>Saint Ouen</v>
      </c>
      <c r="D4" s="335"/>
      <c r="E4" s="335"/>
      <c r="F4" s="335"/>
      <c r="G4" s="3"/>
      <c r="H4" s="3"/>
      <c r="I4" s="3"/>
      <c r="J4" s="3"/>
      <c r="K4" s="1"/>
    </row>
    <row r="5" spans="1:11" x14ac:dyDescent="0.25">
      <c r="A5" s="1" t="s">
        <v>3</v>
      </c>
      <c r="B5" s="335"/>
      <c r="C5" s="335" t="str">
        <f>'[18]F 1 _ Echant et Séchage'!E15</f>
        <v>humide, nuageux</v>
      </c>
      <c r="D5" s="335"/>
      <c r="E5" s="335"/>
      <c r="F5" s="335"/>
      <c r="G5" s="3"/>
      <c r="H5" s="3"/>
      <c r="I5" s="3"/>
      <c r="J5" s="3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4"/>
      <c r="J8" s="1"/>
      <c r="K8" s="1"/>
    </row>
    <row r="9" spans="1:11" x14ac:dyDescent="0.25">
      <c r="A9" s="1" t="s">
        <v>5</v>
      </c>
      <c r="B9" s="5">
        <f>'[18]F 1 _ Echant et Séchage'!B12</f>
        <v>42264</v>
      </c>
      <c r="C9" s="1"/>
      <c r="D9" s="337" t="s">
        <v>6</v>
      </c>
      <c r="E9" s="337"/>
      <c r="F9" s="337"/>
      <c r="G9" s="6">
        <f>'[18]F 1 _ Echant et Séchage'!G19</f>
        <v>125.80000000000001</v>
      </c>
      <c r="H9" s="6"/>
      <c r="I9" s="7"/>
      <c r="J9" s="1" t="s">
        <v>7</v>
      </c>
      <c r="K9" s="1"/>
    </row>
    <row r="10" spans="1:11" x14ac:dyDescent="0.25">
      <c r="A10" s="1" t="s">
        <v>8</v>
      </c>
      <c r="B10" s="8" t="str">
        <f>'[18]F 1 _ Echant et Séchage'!E12</f>
        <v>8H15</v>
      </c>
      <c r="C10" s="1"/>
      <c r="D10" s="337" t="s">
        <v>9</v>
      </c>
      <c r="E10" s="337"/>
      <c r="F10" s="337"/>
      <c r="G10" s="335">
        <f>'[18]F 1 _ Echant et Séchage'!H26</f>
        <v>0.5</v>
      </c>
      <c r="H10" s="335"/>
      <c r="I10" s="9"/>
      <c r="J10" s="1" t="s">
        <v>10</v>
      </c>
      <c r="K10" s="1"/>
    </row>
    <row r="11" spans="1:11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0.25160000000000005</v>
      </c>
      <c r="H11" s="10"/>
      <c r="I11" s="3"/>
      <c r="J11" s="3" t="s">
        <v>12</v>
      </c>
      <c r="K11" s="1"/>
    </row>
    <row r="12" spans="1:11" x14ac:dyDescent="0.25">
      <c r="A12" s="1"/>
      <c r="B12" s="7"/>
      <c r="C12" s="1"/>
      <c r="D12" s="337" t="s">
        <v>13</v>
      </c>
      <c r="E12" s="337"/>
      <c r="F12" s="337"/>
      <c r="G12" s="236">
        <f>'[18]F 1 _ Echant et Séchage'!D51</f>
        <v>0.39268680445151022</v>
      </c>
      <c r="H12" s="11"/>
      <c r="I12" s="11"/>
      <c r="J12" s="1"/>
      <c r="K12" s="1"/>
    </row>
    <row r="13" spans="1:11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  <c r="K13" s="1"/>
    </row>
    <row r="14" spans="1:11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  <c r="K14" s="1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"/>
    </row>
    <row r="16" spans="1:11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418"/>
      <c r="I16" s="419"/>
      <c r="J16" s="418"/>
      <c r="K16" s="1"/>
    </row>
    <row r="17" spans="1:15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418"/>
      <c r="I17" s="419"/>
      <c r="J17" s="418"/>
      <c r="K17" s="1"/>
    </row>
    <row r="18" spans="1:15" ht="25.5" x14ac:dyDescent="0.25">
      <c r="A18" s="334" t="s">
        <v>109</v>
      </c>
      <c r="B18" s="18" t="s">
        <v>111</v>
      </c>
      <c r="C18" s="19">
        <f>'[18]F 4 TRI _ Granulo'!K5</f>
        <v>35.734774774774777</v>
      </c>
      <c r="D18" s="20">
        <f>'[18]F 4 TRI _ Granulo'!H5</f>
        <v>22.620000000000005</v>
      </c>
      <c r="E18" s="20">
        <f>'[18]F 4 TRI _ Granulo'!E5</f>
        <v>3.9799999999999995</v>
      </c>
      <c r="F18" s="20">
        <f>SUM(C18:E18)</f>
        <v>62.334774774774779</v>
      </c>
      <c r="G18" s="21">
        <f>F18/$F$21</f>
        <v>0.80428227690662457</v>
      </c>
      <c r="H18" s="98"/>
      <c r="I18" s="99"/>
      <c r="J18" s="99"/>
      <c r="K18" s="1"/>
    </row>
    <row r="19" spans="1:15" ht="25.5" x14ac:dyDescent="0.25">
      <c r="A19" s="333" t="s">
        <v>110</v>
      </c>
      <c r="B19" s="18" t="s">
        <v>112</v>
      </c>
      <c r="C19" s="19">
        <f>'[18]F 4 TRI _ Granulo'!K6</f>
        <v>1.5462162162162174</v>
      </c>
      <c r="D19" s="20">
        <f>'[18]F 4 TRI _ Granulo'!H6</f>
        <v>2.98</v>
      </c>
      <c r="E19" s="20">
        <f>'[18]F 4 TRI _ Granulo'!E6</f>
        <v>1.4</v>
      </c>
      <c r="F19" s="20">
        <f>SUM(C19:E19)</f>
        <v>5.9262162162162166</v>
      </c>
      <c r="G19" s="21">
        <f>F19/$F$21</f>
        <v>7.6463750595729352E-2</v>
      </c>
      <c r="H19" s="98"/>
      <c r="I19" s="100"/>
      <c r="J19" s="100"/>
      <c r="K19" s="1"/>
    </row>
    <row r="20" spans="1:15" x14ac:dyDescent="0.25">
      <c r="A20" s="22" t="s">
        <v>74</v>
      </c>
      <c r="B20" s="23">
        <f>'[18]F 3 _ Criblage et Tri'!C27+'[18]F 3 _ Criblage et Tri'!D27</f>
        <v>7.9</v>
      </c>
      <c r="C20" s="19">
        <f>'[18]F 4 TRI _ Granulo'!K7</f>
        <v>1.2026126126126138</v>
      </c>
      <c r="D20" s="20">
        <f>'[18]F 4 TRI _ Granulo'!H7</f>
        <v>0.14000000000000012</v>
      </c>
      <c r="E20" s="20">
        <f>'[18]F 4 TRI _ Granulo'!E7</f>
        <v>0</v>
      </c>
      <c r="F20" s="19">
        <f>SUM(B20:E20)</f>
        <v>9.2426126126126142</v>
      </c>
      <c r="G20" s="21">
        <f>F20/$F$21</f>
        <v>0.11925397249764616</v>
      </c>
      <c r="H20" s="98"/>
      <c r="I20" s="101"/>
      <c r="J20" s="101"/>
      <c r="K20" s="1"/>
    </row>
    <row r="21" spans="1:15" x14ac:dyDescent="0.25">
      <c r="A21" s="25" t="s">
        <v>25</v>
      </c>
      <c r="B21" s="90">
        <f>B20</f>
        <v>7.9</v>
      </c>
      <c r="C21" s="19">
        <f>SUM(C18:C20)</f>
        <v>38.483603603603605</v>
      </c>
      <c r="D21" s="19">
        <f>SUM(D18:D20)</f>
        <v>25.740000000000006</v>
      </c>
      <c r="E21" s="19">
        <f>SUM(E18:E20)</f>
        <v>5.379999999999999</v>
      </c>
      <c r="F21" s="19">
        <f>SUM(B21:E21)</f>
        <v>77.503603603603608</v>
      </c>
      <c r="G21" s="21">
        <f>F21/$F$21</f>
        <v>1</v>
      </c>
      <c r="H21" s="98"/>
      <c r="I21" s="101"/>
      <c r="J21" s="101"/>
      <c r="K21" s="1"/>
    </row>
    <row r="22" spans="1:15" ht="51.75" x14ac:dyDescent="0.25">
      <c r="A22" s="26" t="s">
        <v>75</v>
      </c>
      <c r="B22" s="235">
        <f>B21/$F$21</f>
        <v>0.10193074428390426</v>
      </c>
      <c r="C22" s="235">
        <f>C21/$F$21</f>
        <v>0.49653953899266523</v>
      </c>
      <c r="D22" s="235">
        <f>D21/$F$21</f>
        <v>0.33211358960350584</v>
      </c>
      <c r="E22" s="235">
        <f>E21/$F$21</f>
        <v>6.9416127119924662E-2</v>
      </c>
      <c r="F22" s="235">
        <f>F21/$F$21</f>
        <v>1</v>
      </c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5" x14ac:dyDescent="0.25">
      <c r="O26" s="237"/>
    </row>
  </sheetData>
  <mergeCells count="13">
    <mergeCell ref="B2:F2"/>
    <mergeCell ref="D12:F12"/>
    <mergeCell ref="A14:J14"/>
    <mergeCell ref="G16:G17"/>
    <mergeCell ref="B3:F3"/>
    <mergeCell ref="A7:J7"/>
    <mergeCell ref="D9:F9"/>
    <mergeCell ref="D10:F10"/>
    <mergeCell ref="B11:C11"/>
    <mergeCell ref="D11:F11"/>
    <mergeCell ref="H16:H17"/>
    <mergeCell ref="I16:I17"/>
    <mergeCell ref="J16:J1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F30" sqref="F30"/>
    </sheetView>
  </sheetViews>
  <sheetFormatPr baseColWidth="10" defaultRowHeight="15" x14ac:dyDescent="0.25"/>
  <cols>
    <col min="2" max="2" width="30" customWidth="1"/>
    <col min="3" max="13" width="16.7109375" customWidth="1"/>
  </cols>
  <sheetData>
    <row r="1" spans="1:14" x14ac:dyDescent="0.25">
      <c r="A1" s="420"/>
      <c r="B1" s="91"/>
      <c r="C1" s="102" t="str">
        <f>'ISS A15 PC BAN'!B2</f>
        <v>ISS-A15-PC-BAN</v>
      </c>
      <c r="D1" s="103" t="str">
        <f>'ISS A15 PC PAR'!B2</f>
        <v>ISS-A15-PB-PAR</v>
      </c>
      <c r="E1" s="103" t="str">
        <f>'IVR A15 PC BAN'!B2</f>
        <v>IVR-A15-PC-BAN</v>
      </c>
      <c r="F1" s="103" t="str">
        <f>'IVR A15 PC PAR'!B2</f>
        <v>IVR-A15-PC-PAR</v>
      </c>
      <c r="G1" s="103" t="str">
        <f>'ROM A15 PC BAN '!B2</f>
        <v>ROM-A15-PC-BAN</v>
      </c>
      <c r="H1" s="103" t="str">
        <f>'ROM A15 PC PAR'!B2</f>
        <v>ROM-A15-PC-PAR</v>
      </c>
      <c r="I1" s="103" t="str">
        <f>'STO A15 PC BAN'!B2</f>
        <v>STO-A15-PC-BAN</v>
      </c>
      <c r="J1" s="103" t="str">
        <f>'STO A15 PC PAR'!B2</f>
        <v>STO-A15-PC-PAR</v>
      </c>
      <c r="K1" s="104" t="s">
        <v>76</v>
      </c>
      <c r="L1" s="105" t="s">
        <v>77</v>
      </c>
      <c r="M1" s="105" t="s">
        <v>78</v>
      </c>
    </row>
    <row r="2" spans="1:14" x14ac:dyDescent="0.25">
      <c r="A2" s="420"/>
      <c r="B2" s="93" t="str">
        <f>'[19]F 1 _ Echant et Séchage'!D5</f>
        <v>ISS A14 PB BAN</v>
      </c>
      <c r="C2" s="106">
        <f>'ISS A15 PC BAN'!G11</f>
        <v>0.24859999999999999</v>
      </c>
      <c r="D2" s="106">
        <f>'ISS A15 PC PAR'!G11</f>
        <v>0.254</v>
      </c>
      <c r="E2" s="106">
        <f>'IVR A15 PC BAN'!G11</f>
        <v>0.31899999999999995</v>
      </c>
      <c r="F2" s="106">
        <f>'IVR A15 PC PAR'!G11</f>
        <v>0.31374999999999997</v>
      </c>
      <c r="G2" s="106">
        <f>'ROM A15 PC BAN '!G11</f>
        <v>0.30047619047619045</v>
      </c>
      <c r="H2" s="106">
        <f>'ROM A15 PC PAR'!G11</f>
        <v>0.25160000000000005</v>
      </c>
      <c r="I2" s="106">
        <f>'STO A15 PC BAN'!G11</f>
        <v>0.27977777777777774</v>
      </c>
      <c r="J2" s="106">
        <f>'STO A15 PC PAR'!G11</f>
        <v>0.25160000000000005</v>
      </c>
      <c r="K2" s="107">
        <f>AVERAGE(C2:J2)</f>
        <v>0.277350496031746</v>
      </c>
      <c r="L2" s="107">
        <f>AVERAGE(D2,F2,H2,J2)</f>
        <v>0.26773750000000002</v>
      </c>
      <c r="M2" s="107">
        <f>AVERAGE(C2,E2,G2,I2)</f>
        <v>0.28696349206349203</v>
      </c>
    </row>
    <row r="3" spans="1:14" x14ac:dyDescent="0.25">
      <c r="A3" s="420"/>
      <c r="B3" s="93" t="s">
        <v>79</v>
      </c>
      <c r="C3" s="228">
        <f>'ISS A15 PC BAN'!G12</f>
        <v>0.36251005631536609</v>
      </c>
      <c r="D3" s="228">
        <f>'ISS A15 PC PAR'!G12</f>
        <v>0.30614173228346431</v>
      </c>
      <c r="E3" s="228">
        <f>'IVR A15 PC BAN'!G12</f>
        <v>0.48346394984326008</v>
      </c>
      <c r="F3" s="228">
        <f>'IVR A15 PC PAR'!G12</f>
        <v>0.36462151394422304</v>
      </c>
      <c r="G3" s="229">
        <f>'ROM A15 PC BAN '!G12</f>
        <v>0.44405705229794001</v>
      </c>
      <c r="H3" s="228">
        <f>'ROM A15 PC PAR'!G12</f>
        <v>0.38918918918918921</v>
      </c>
      <c r="I3" s="228">
        <f>'STO A15 PC BAN'!G12</f>
        <v>0.45035742652899108</v>
      </c>
      <c r="J3" s="228">
        <f>'STO A15 PC PAR'!G12</f>
        <v>0.39268680445151022</v>
      </c>
      <c r="K3" s="230">
        <f>AVERAGE(C3:J3)</f>
        <v>0.39912846560674298</v>
      </c>
      <c r="L3" s="230">
        <f>AVERAGE(D3,F3,H3,J3)</f>
        <v>0.36315980996709668</v>
      </c>
      <c r="M3" s="230">
        <f>AVERAGE(C3,E3,G3,I3)</f>
        <v>0.43509712124638933</v>
      </c>
    </row>
    <row r="4" spans="1:14" ht="15" customHeight="1" x14ac:dyDescent="0.25">
      <c r="A4" s="426"/>
      <c r="B4" s="426"/>
      <c r="C4" s="425" t="s">
        <v>16</v>
      </c>
      <c r="D4" s="425" t="s">
        <v>16</v>
      </c>
      <c r="E4" s="425" t="s">
        <v>16</v>
      </c>
      <c r="F4" s="425" t="s">
        <v>16</v>
      </c>
      <c r="G4" s="425" t="s">
        <v>16</v>
      </c>
      <c r="H4" s="425" t="s">
        <v>16</v>
      </c>
      <c r="I4" s="425" t="s">
        <v>16</v>
      </c>
      <c r="J4" s="425" t="s">
        <v>16</v>
      </c>
      <c r="K4" s="425" t="s">
        <v>107</v>
      </c>
      <c r="L4" s="425" t="s">
        <v>107</v>
      </c>
      <c r="M4" s="425" t="s">
        <v>107</v>
      </c>
    </row>
    <row r="5" spans="1:14" x14ac:dyDescent="0.25">
      <c r="A5" s="92" t="s">
        <v>20</v>
      </c>
      <c r="B5" s="92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</row>
    <row r="6" spans="1:14" ht="38.25" customHeight="1" x14ac:dyDescent="0.25">
      <c r="A6" s="421" t="s">
        <v>56</v>
      </c>
      <c r="B6" s="422"/>
      <c r="C6" s="110">
        <f>'ISS A15 PC BAN'!G18</f>
        <v>0.73317933295559645</v>
      </c>
      <c r="D6" s="110">
        <f>'ISS A15 PC PAR'!G18</f>
        <v>0.66288697618353232</v>
      </c>
      <c r="E6" s="110">
        <f>'IVR A15 PC BAN'!G18</f>
        <v>0.77380733776488286</v>
      </c>
      <c r="F6" s="110">
        <f>'IVR A15 PC PAR'!G18</f>
        <v>0.68634303259135931</v>
      </c>
      <c r="G6" s="110">
        <f>'ROM A15 PC BAN '!G18</f>
        <v>0.60696026120888735</v>
      </c>
      <c r="H6" s="110">
        <f>'ROM A15 PC PAR'!G18</f>
        <v>0.79339737627096896</v>
      </c>
      <c r="I6" s="110">
        <f>'STO A15 PC BAN'!G18</f>
        <v>0.84271327632815474</v>
      </c>
      <c r="J6" s="110">
        <f>'STO A15 PC PAR'!G18</f>
        <v>0.80428227690662457</v>
      </c>
      <c r="K6" s="108">
        <f>AVERAGE(C6,D6,E6,F6,G6,H6,I6,J6)</f>
        <v>0.73794623377625079</v>
      </c>
      <c r="L6" s="108">
        <f>AVERAGE(D6,F6,H6,J6)</f>
        <v>0.73672741548812126</v>
      </c>
      <c r="M6" s="108">
        <f>AVERAGE(C6,E6,G6,I6)</f>
        <v>0.73916505206438043</v>
      </c>
      <c r="N6" s="232">
        <f>+(M6+L6)/2-K6</f>
        <v>0</v>
      </c>
    </row>
    <row r="7" spans="1:14" ht="38.25" customHeight="1" x14ac:dyDescent="0.25">
      <c r="A7" s="423" t="s">
        <v>67</v>
      </c>
      <c r="B7" s="424"/>
      <c r="C7" s="96">
        <f>'ISS A15 PC BAN'!G19</f>
        <v>0.16110764045270301</v>
      </c>
      <c r="D7" s="96">
        <f>'ISS A15 PC PAR'!G19</f>
        <v>0.24686224472057464</v>
      </c>
      <c r="E7" s="96">
        <f>'IVR A15 PC BAN'!G19</f>
        <v>0.13432981992238668</v>
      </c>
      <c r="F7" s="96">
        <f>'IVR A15 PC PAR'!G19</f>
        <v>0.20906049050194978</v>
      </c>
      <c r="G7" s="96">
        <f>'ROM A15 PC BAN '!G19</f>
        <v>0.16448992593772396</v>
      </c>
      <c r="H7" s="96">
        <f>'ROM A15 PC PAR'!G19</f>
        <v>0.12234980915418417</v>
      </c>
      <c r="I7" s="96">
        <f>'STO A15 PC BAN'!G19</f>
        <v>4.4529011149656017E-2</v>
      </c>
      <c r="J7" s="96">
        <f>'STO A15 PC PAR'!G19</f>
        <v>7.6463750595729352E-2</v>
      </c>
      <c r="K7" s="60">
        <f>AVERAGE(C7,D7,E7,F7,G7,H7,I7,J7)</f>
        <v>0.14489908655436343</v>
      </c>
      <c r="L7" s="60">
        <f>AVERAGE(D7,F7,H7,J7)</f>
        <v>0.1636840737431095</v>
      </c>
      <c r="M7" s="60">
        <f>AVERAGE(C7,E7,G7,I7)</f>
        <v>0.1261140993656174</v>
      </c>
      <c r="N7" s="232">
        <f t="shared" ref="N7:N8" si="0">+(M7+L7)/2-K7</f>
        <v>0</v>
      </c>
    </row>
    <row r="8" spans="1:14" x14ac:dyDescent="0.25">
      <c r="A8" s="47" t="s">
        <v>74</v>
      </c>
      <c r="B8" s="109"/>
      <c r="C8" s="110">
        <f>'ISS A15 PC BAN'!G20</f>
        <v>0.10571302659170047</v>
      </c>
      <c r="D8" s="110">
        <f>'ISS A15 PC PAR'!G20</f>
        <v>9.0250779095892936E-2</v>
      </c>
      <c r="E8" s="110">
        <f>'IVR A15 PC BAN'!G20</f>
        <v>9.1862842312730342E-2</v>
      </c>
      <c r="F8" s="110">
        <f>'IVR A15 PC PAR'!G20</f>
        <v>0.10459647690669092</v>
      </c>
      <c r="G8" s="110">
        <f>'ROM A15 PC BAN '!G20</f>
        <v>0.22854981285338855</v>
      </c>
      <c r="H8" s="110">
        <f>'ROM A15 PC PAR'!G20</f>
        <v>8.4252814574846832E-2</v>
      </c>
      <c r="I8" s="110">
        <f>'STO A15 PC BAN'!G20</f>
        <v>0.11275771252218909</v>
      </c>
      <c r="J8" s="110">
        <f>'STO A15 PC PAR'!G20</f>
        <v>0.11925397249764616</v>
      </c>
      <c r="K8" s="108">
        <f>AVERAGE(C8,D8,E8,F8,G8,H8,I8,J8)</f>
        <v>0.11715467966938566</v>
      </c>
      <c r="L8" s="108">
        <f>AVERAGE(D8,F8,H8,J8)</f>
        <v>9.9588510768769206E-2</v>
      </c>
      <c r="M8" s="108">
        <f>AVERAGE(C8,E8,G8,I8)</f>
        <v>0.13472084857000211</v>
      </c>
      <c r="N8" s="232">
        <f t="shared" si="0"/>
        <v>0</v>
      </c>
    </row>
    <row r="9" spans="1:14" x14ac:dyDescent="0.25">
      <c r="A9" s="94" t="s">
        <v>25</v>
      </c>
      <c r="B9" s="95"/>
      <c r="C9" s="96">
        <f t="shared" ref="C9:M9" si="1">SUM(C6:C8)</f>
        <v>0.99999999999999989</v>
      </c>
      <c r="D9" s="97">
        <f t="shared" si="1"/>
        <v>0.99999999999999989</v>
      </c>
      <c r="E9" s="97">
        <f t="shared" si="1"/>
        <v>0.99999999999999989</v>
      </c>
      <c r="F9" s="97">
        <f t="shared" si="1"/>
        <v>1</v>
      </c>
      <c r="G9" s="97">
        <f t="shared" si="1"/>
        <v>0.99999999999999978</v>
      </c>
      <c r="H9" s="97">
        <f t="shared" si="1"/>
        <v>0.99999999999999989</v>
      </c>
      <c r="I9" s="97">
        <f t="shared" si="1"/>
        <v>0.99999999999999989</v>
      </c>
      <c r="J9" s="97">
        <f t="shared" si="1"/>
        <v>1.0000000000000002</v>
      </c>
      <c r="K9" s="97">
        <f t="shared" si="1"/>
        <v>0.99999999999999989</v>
      </c>
      <c r="L9" s="97">
        <f t="shared" si="1"/>
        <v>0.99999999999999989</v>
      </c>
      <c r="M9" s="97">
        <f t="shared" si="1"/>
        <v>0.99999999999999989</v>
      </c>
    </row>
  </sheetData>
  <mergeCells count="15">
    <mergeCell ref="A1:A3"/>
    <mergeCell ref="A6:B6"/>
    <mergeCell ref="A7:B7"/>
    <mergeCell ref="M4:M5"/>
    <mergeCell ref="J4:J5"/>
    <mergeCell ref="K4:K5"/>
    <mergeCell ref="L4:L5"/>
    <mergeCell ref="G4:G5"/>
    <mergeCell ref="H4:H5"/>
    <mergeCell ref="I4:I5"/>
    <mergeCell ref="A4:B4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97"/>
  <sheetViews>
    <sheetView tabSelected="1" zoomScaleNormal="100" workbookViewId="0">
      <pane xSplit="2" ySplit="1" topLeftCell="C41" activePane="bottomRight" state="frozen"/>
      <selection pane="topRight" activeCell="C1" sqref="C1"/>
      <selection pane="bottomLeft" activeCell="A2" sqref="A2"/>
      <selection pane="bottomRight" sqref="A1:XFD68"/>
    </sheetView>
  </sheetViews>
  <sheetFormatPr baseColWidth="10" defaultRowHeight="15" x14ac:dyDescent="0.25"/>
  <cols>
    <col min="1" max="1" width="10.42578125" style="255" bestFit="1" customWidth="1"/>
    <col min="2" max="2" width="11.7109375" bestFit="1" customWidth="1"/>
    <col min="3" max="3" width="10" customWidth="1"/>
    <col min="4" max="4" width="9.28515625" customWidth="1"/>
    <col min="5" max="5" width="9.140625" customWidth="1"/>
    <col min="6" max="6" width="9" customWidth="1"/>
    <col min="7" max="7" width="7.5703125" customWidth="1"/>
    <col min="8" max="8" width="10.28515625" customWidth="1"/>
    <col min="9" max="9" width="8.85546875" customWidth="1"/>
    <col min="10" max="10" width="10" customWidth="1"/>
    <col min="11" max="11" width="9.5703125" customWidth="1"/>
  </cols>
  <sheetData>
    <row r="1" spans="1:18" ht="90" thickBot="1" x14ac:dyDescent="0.3">
      <c r="B1" s="256" t="s">
        <v>136</v>
      </c>
      <c r="C1" s="257" t="s">
        <v>137</v>
      </c>
      <c r="D1" s="258" t="s">
        <v>138</v>
      </c>
      <c r="E1" s="259" t="s">
        <v>139</v>
      </c>
      <c r="F1" s="259" t="s">
        <v>139</v>
      </c>
      <c r="G1" s="258" t="s">
        <v>140</v>
      </c>
      <c r="H1" s="258" t="s">
        <v>141</v>
      </c>
      <c r="I1" s="258" t="s">
        <v>142</v>
      </c>
      <c r="J1" s="258" t="s">
        <v>143</v>
      </c>
      <c r="K1" s="258" t="s">
        <v>144</v>
      </c>
      <c r="L1" s="258" t="s">
        <v>145</v>
      </c>
      <c r="M1" s="260" t="s">
        <v>146</v>
      </c>
      <c r="N1" s="260" t="s">
        <v>147</v>
      </c>
      <c r="O1" s="261" t="s">
        <v>148</v>
      </c>
      <c r="P1" s="262" t="s">
        <v>149</v>
      </c>
      <c r="Q1" s="260" t="s">
        <v>147</v>
      </c>
    </row>
    <row r="2" spans="1:18" x14ac:dyDescent="0.25">
      <c r="A2" s="427" t="s">
        <v>150</v>
      </c>
      <c r="B2" s="263" t="s">
        <v>151</v>
      </c>
      <c r="C2" s="264"/>
      <c r="D2" s="265"/>
      <c r="E2" s="266">
        <f>D2+H2+I2+J2+K2</f>
        <v>0</v>
      </c>
      <c r="F2" s="267" t="str">
        <f t="shared" ref="F2:F65" si="0">IF(E2=C2,"ok","pas bon")</f>
        <v>ok</v>
      </c>
      <c r="G2" s="265"/>
      <c r="H2" s="268"/>
      <c r="I2" s="268"/>
      <c r="J2" s="268"/>
      <c r="K2" s="268"/>
      <c r="L2" s="265"/>
      <c r="M2" s="266">
        <f>G2+H2+J2+K2</f>
        <v>0</v>
      </c>
      <c r="N2" s="266" t="str">
        <f t="shared" ref="N2:N65" si="1">IF(M2=L2,"ok", "pas bon")</f>
        <v>ok</v>
      </c>
      <c r="O2" s="269"/>
      <c r="P2" s="270" t="e">
        <f>(C2-L2)/C2</f>
        <v>#DIV/0!</v>
      </c>
      <c r="Q2" t="e">
        <f>IF(O2=P2,"ok","pas bon")</f>
        <v>#DIV/0!</v>
      </c>
    </row>
    <row r="3" spans="1:18" x14ac:dyDescent="0.25">
      <c r="A3" s="428"/>
      <c r="B3" s="263" t="s">
        <v>152</v>
      </c>
      <c r="C3" s="271"/>
      <c r="D3" s="272"/>
      <c r="E3" s="266">
        <f t="shared" ref="E3:E66" si="2">D3+H3+I3+J3+K3</f>
        <v>0</v>
      </c>
      <c r="F3" s="266" t="str">
        <f t="shared" si="0"/>
        <v>ok</v>
      </c>
      <c r="G3" s="272"/>
      <c r="H3" s="273"/>
      <c r="I3" s="273"/>
      <c r="J3" s="273"/>
      <c r="K3" s="273"/>
      <c r="L3" s="272"/>
      <c r="M3" s="274">
        <f>G3+H3+J3+K3</f>
        <v>0</v>
      </c>
      <c r="N3" s="274" t="str">
        <f t="shared" si="1"/>
        <v>ok</v>
      </c>
      <c r="O3" s="275"/>
      <c r="P3" s="270" t="e">
        <f t="shared" ref="P3:P27" si="3">(C3-L3)/C3</f>
        <v>#DIV/0!</v>
      </c>
      <c r="Q3" t="e">
        <f t="shared" ref="Q3:Q66" si="4">IF(O3=P3,"ok","pas bon")</f>
        <v>#DIV/0!</v>
      </c>
    </row>
    <row r="4" spans="1:18" x14ac:dyDescent="0.25">
      <c r="A4" s="428"/>
      <c r="B4" s="263" t="s">
        <v>153</v>
      </c>
      <c r="C4" s="271"/>
      <c r="D4" s="272"/>
      <c r="E4" s="272">
        <f t="shared" si="2"/>
        <v>0</v>
      </c>
      <c r="F4" s="272" t="str">
        <f t="shared" si="0"/>
        <v>ok</v>
      </c>
      <c r="G4" s="272"/>
      <c r="H4" s="273"/>
      <c r="I4" s="273"/>
      <c r="J4" s="273"/>
      <c r="K4" s="273"/>
      <c r="L4" s="272"/>
      <c r="M4" s="266">
        <f t="shared" ref="M4:M67" si="5">G4+H4+J4+K4</f>
        <v>0</v>
      </c>
      <c r="N4" s="266" t="str">
        <f t="shared" si="1"/>
        <v>ok</v>
      </c>
      <c r="O4" s="275"/>
      <c r="P4" s="270" t="e">
        <f t="shared" si="3"/>
        <v>#DIV/0!</v>
      </c>
      <c r="Q4" t="e">
        <f t="shared" si="4"/>
        <v>#DIV/0!</v>
      </c>
    </row>
    <row r="5" spans="1:18" x14ac:dyDescent="0.25">
      <c r="A5" s="428"/>
      <c r="B5" s="263" t="s">
        <v>154</v>
      </c>
      <c r="C5" s="271"/>
      <c r="D5" s="272"/>
      <c r="E5" s="272">
        <f t="shared" si="2"/>
        <v>0</v>
      </c>
      <c r="F5" s="272" t="str">
        <f t="shared" si="0"/>
        <v>ok</v>
      </c>
      <c r="G5" s="272"/>
      <c r="H5" s="273"/>
      <c r="I5" s="273"/>
      <c r="J5" s="273"/>
      <c r="K5" s="273"/>
      <c r="L5" s="272"/>
      <c r="M5" s="266">
        <f t="shared" si="5"/>
        <v>0</v>
      </c>
      <c r="N5" s="266" t="str">
        <f t="shared" si="1"/>
        <v>ok</v>
      </c>
      <c r="O5" s="275"/>
      <c r="P5" s="270" t="e">
        <f t="shared" si="3"/>
        <v>#DIV/0!</v>
      </c>
      <c r="Q5" t="e">
        <f t="shared" si="4"/>
        <v>#DIV/0!</v>
      </c>
      <c r="R5" s="276"/>
    </row>
    <row r="6" spans="1:18" x14ac:dyDescent="0.25">
      <c r="A6" s="428"/>
      <c r="B6" s="263" t="s">
        <v>155</v>
      </c>
      <c r="C6" s="271"/>
      <c r="D6" s="272"/>
      <c r="E6" s="272">
        <f t="shared" si="2"/>
        <v>0</v>
      </c>
      <c r="F6" s="272" t="str">
        <f t="shared" si="0"/>
        <v>ok</v>
      </c>
      <c r="G6" s="272"/>
      <c r="H6" s="273"/>
      <c r="I6" s="273"/>
      <c r="J6" s="273"/>
      <c r="K6" s="273"/>
      <c r="L6" s="272"/>
      <c r="M6" s="266">
        <f t="shared" si="5"/>
        <v>0</v>
      </c>
      <c r="N6" s="266" t="str">
        <f t="shared" si="1"/>
        <v>ok</v>
      </c>
      <c r="O6" s="275"/>
      <c r="P6" s="270" t="e">
        <f t="shared" si="3"/>
        <v>#DIV/0!</v>
      </c>
      <c r="Q6" t="e">
        <f t="shared" si="4"/>
        <v>#DIV/0!</v>
      </c>
    </row>
    <row r="7" spans="1:18" x14ac:dyDescent="0.25">
      <c r="A7" s="428"/>
      <c r="B7" s="263" t="s">
        <v>156</v>
      </c>
      <c r="C7" s="271"/>
      <c r="D7" s="272"/>
      <c r="E7" s="272">
        <f t="shared" si="2"/>
        <v>0</v>
      </c>
      <c r="F7" s="272" t="str">
        <f t="shared" si="0"/>
        <v>ok</v>
      </c>
      <c r="G7" s="272"/>
      <c r="H7" s="273"/>
      <c r="I7" s="273"/>
      <c r="J7" s="273"/>
      <c r="K7" s="273"/>
      <c r="L7" s="272"/>
      <c r="M7" s="266">
        <f t="shared" si="5"/>
        <v>0</v>
      </c>
      <c r="N7" s="266" t="str">
        <f t="shared" si="1"/>
        <v>ok</v>
      </c>
      <c r="O7" s="275"/>
      <c r="P7" s="270" t="e">
        <f t="shared" si="3"/>
        <v>#DIV/0!</v>
      </c>
      <c r="Q7" t="e">
        <f t="shared" si="4"/>
        <v>#DIV/0!</v>
      </c>
    </row>
    <row r="8" spans="1:18" x14ac:dyDescent="0.25">
      <c r="A8" s="428"/>
      <c r="B8" s="263" t="s">
        <v>157</v>
      </c>
      <c r="C8" s="271"/>
      <c r="D8" s="272"/>
      <c r="E8" s="272">
        <f t="shared" si="2"/>
        <v>0</v>
      </c>
      <c r="F8" s="272" t="str">
        <f t="shared" si="0"/>
        <v>ok</v>
      </c>
      <c r="G8" s="272"/>
      <c r="H8" s="273"/>
      <c r="I8" s="273"/>
      <c r="J8" s="273"/>
      <c r="K8" s="273"/>
      <c r="L8" s="272"/>
      <c r="M8" s="266">
        <f t="shared" si="5"/>
        <v>0</v>
      </c>
      <c r="N8" s="266" t="str">
        <f t="shared" si="1"/>
        <v>ok</v>
      </c>
      <c r="O8" s="275"/>
      <c r="P8" s="270" t="e">
        <f t="shared" si="3"/>
        <v>#DIV/0!</v>
      </c>
      <c r="Q8" t="e">
        <f t="shared" si="4"/>
        <v>#DIV/0!</v>
      </c>
    </row>
    <row r="9" spans="1:18" x14ac:dyDescent="0.25">
      <c r="A9" s="428"/>
      <c r="B9" s="263" t="s">
        <v>158</v>
      </c>
      <c r="C9" s="271"/>
      <c r="D9" s="272"/>
      <c r="E9" s="272">
        <f t="shared" si="2"/>
        <v>0</v>
      </c>
      <c r="F9" s="272" t="str">
        <f t="shared" si="0"/>
        <v>ok</v>
      </c>
      <c r="G9" s="272"/>
      <c r="H9" s="273"/>
      <c r="I9" s="273"/>
      <c r="J9" s="273"/>
      <c r="K9" s="273"/>
      <c r="L9" s="272"/>
      <c r="M9" s="266">
        <f t="shared" si="5"/>
        <v>0</v>
      </c>
      <c r="N9" s="266" t="str">
        <f t="shared" si="1"/>
        <v>ok</v>
      </c>
      <c r="O9" s="275"/>
      <c r="P9" s="270" t="e">
        <f t="shared" si="3"/>
        <v>#DIV/0!</v>
      </c>
      <c r="Q9" t="e">
        <f t="shared" si="4"/>
        <v>#DIV/0!</v>
      </c>
      <c r="R9" s="276"/>
    </row>
    <row r="10" spans="1:18" x14ac:dyDescent="0.25">
      <c r="A10" s="428"/>
      <c r="B10" s="263" t="s">
        <v>159</v>
      </c>
      <c r="C10" s="271"/>
      <c r="D10" s="272"/>
      <c r="E10" s="272">
        <f t="shared" si="2"/>
        <v>0</v>
      </c>
      <c r="F10" s="272" t="str">
        <f t="shared" si="0"/>
        <v>ok</v>
      </c>
      <c r="G10" s="272"/>
      <c r="H10" s="273"/>
      <c r="I10" s="273"/>
      <c r="J10" s="273"/>
      <c r="K10" s="273"/>
      <c r="L10" s="272"/>
      <c r="M10" s="266">
        <f t="shared" si="5"/>
        <v>0</v>
      </c>
      <c r="N10" s="266" t="str">
        <f t="shared" si="1"/>
        <v>ok</v>
      </c>
      <c r="O10" s="275"/>
      <c r="P10" s="270" t="e">
        <f t="shared" si="3"/>
        <v>#DIV/0!</v>
      </c>
      <c r="Q10" t="e">
        <f t="shared" si="4"/>
        <v>#DIV/0!</v>
      </c>
    </row>
    <row r="11" spans="1:18" x14ac:dyDescent="0.25">
      <c r="A11" s="428"/>
      <c r="B11" s="263" t="s">
        <v>160</v>
      </c>
      <c r="C11" s="271"/>
      <c r="D11" s="272"/>
      <c r="E11" s="272">
        <f t="shared" si="2"/>
        <v>0</v>
      </c>
      <c r="F11" s="272" t="str">
        <f t="shared" si="0"/>
        <v>ok</v>
      </c>
      <c r="G11" s="272"/>
      <c r="H11" s="273"/>
      <c r="I11" s="273"/>
      <c r="J11" s="273"/>
      <c r="K11" s="273"/>
      <c r="L11" s="272"/>
      <c r="M11" s="266">
        <f t="shared" si="5"/>
        <v>0</v>
      </c>
      <c r="N11" s="266" t="str">
        <f t="shared" si="1"/>
        <v>ok</v>
      </c>
      <c r="O11" s="275"/>
      <c r="P11" s="270" t="e">
        <f t="shared" si="3"/>
        <v>#DIV/0!</v>
      </c>
      <c r="Q11" t="e">
        <f t="shared" si="4"/>
        <v>#DIV/0!</v>
      </c>
    </row>
    <row r="12" spans="1:18" x14ac:dyDescent="0.25">
      <c r="A12" s="428"/>
      <c r="B12" s="263" t="s">
        <v>161</v>
      </c>
      <c r="C12" s="271"/>
      <c r="D12" s="272"/>
      <c r="E12" s="272">
        <f t="shared" si="2"/>
        <v>0</v>
      </c>
      <c r="F12" s="272" t="str">
        <f t="shared" si="0"/>
        <v>ok</v>
      </c>
      <c r="G12" s="272"/>
      <c r="H12" s="273"/>
      <c r="I12" s="273"/>
      <c r="J12" s="273"/>
      <c r="K12" s="273"/>
      <c r="L12" s="272"/>
      <c r="M12" s="266">
        <f t="shared" si="5"/>
        <v>0</v>
      </c>
      <c r="N12" s="266" t="str">
        <f t="shared" si="1"/>
        <v>ok</v>
      </c>
      <c r="O12" s="275"/>
      <c r="P12" s="270" t="e">
        <f t="shared" si="3"/>
        <v>#DIV/0!</v>
      </c>
      <c r="Q12" t="e">
        <f t="shared" si="4"/>
        <v>#DIV/0!</v>
      </c>
    </row>
    <row r="13" spans="1:18" x14ac:dyDescent="0.25">
      <c r="A13" s="428"/>
      <c r="B13" s="263" t="s">
        <v>162</v>
      </c>
      <c r="C13" s="271"/>
      <c r="D13" s="272"/>
      <c r="E13" s="272">
        <f t="shared" si="2"/>
        <v>0</v>
      </c>
      <c r="F13" s="272" t="str">
        <f t="shared" si="0"/>
        <v>ok</v>
      </c>
      <c r="G13" s="272"/>
      <c r="H13" s="273"/>
      <c r="I13" s="273"/>
      <c r="J13" s="273"/>
      <c r="K13" s="273"/>
      <c r="L13" s="272"/>
      <c r="M13" s="266">
        <f t="shared" si="5"/>
        <v>0</v>
      </c>
      <c r="N13" s="266" t="str">
        <f t="shared" si="1"/>
        <v>ok</v>
      </c>
      <c r="O13" s="275"/>
      <c r="P13" s="270" t="e">
        <f t="shared" si="3"/>
        <v>#DIV/0!</v>
      </c>
      <c r="Q13" t="e">
        <f t="shared" si="4"/>
        <v>#DIV/0!</v>
      </c>
    </row>
    <row r="14" spans="1:18" x14ac:dyDescent="0.25">
      <c r="A14" s="428"/>
      <c r="B14" s="263" t="s">
        <v>163</v>
      </c>
      <c r="C14" s="271"/>
      <c r="D14" s="272"/>
      <c r="E14" s="272">
        <f t="shared" si="2"/>
        <v>0</v>
      </c>
      <c r="F14" s="272" t="str">
        <f t="shared" si="0"/>
        <v>ok</v>
      </c>
      <c r="G14" s="272"/>
      <c r="H14" s="273"/>
      <c r="I14" s="273"/>
      <c r="J14" s="273"/>
      <c r="K14" s="273"/>
      <c r="L14" s="272"/>
      <c r="M14" s="266">
        <f t="shared" si="5"/>
        <v>0</v>
      </c>
      <c r="N14" s="266" t="str">
        <f t="shared" si="1"/>
        <v>ok</v>
      </c>
      <c r="O14" s="275"/>
      <c r="P14" s="270" t="e">
        <f t="shared" si="3"/>
        <v>#DIV/0!</v>
      </c>
      <c r="Q14" t="e">
        <f t="shared" si="4"/>
        <v>#DIV/0!</v>
      </c>
    </row>
    <row r="15" spans="1:18" x14ac:dyDescent="0.25">
      <c r="A15" s="428"/>
      <c r="B15" s="263" t="s">
        <v>164</v>
      </c>
      <c r="C15" s="271"/>
      <c r="D15" s="272"/>
      <c r="E15" s="272">
        <f t="shared" si="2"/>
        <v>0</v>
      </c>
      <c r="F15" s="272" t="str">
        <f t="shared" si="0"/>
        <v>ok</v>
      </c>
      <c r="G15" s="272"/>
      <c r="H15" s="273"/>
      <c r="I15" s="273"/>
      <c r="J15" s="273"/>
      <c r="K15" s="273"/>
      <c r="L15" s="272"/>
      <c r="M15" s="266">
        <f t="shared" si="5"/>
        <v>0</v>
      </c>
      <c r="N15" s="266" t="str">
        <f t="shared" si="1"/>
        <v>ok</v>
      </c>
      <c r="O15" s="275"/>
      <c r="P15" s="270" t="e">
        <f t="shared" si="3"/>
        <v>#DIV/0!</v>
      </c>
      <c r="Q15" t="e">
        <f t="shared" si="4"/>
        <v>#DIV/0!</v>
      </c>
    </row>
    <row r="16" spans="1:18" x14ac:dyDescent="0.25">
      <c r="A16" s="428"/>
      <c r="B16" s="263" t="s">
        <v>165</v>
      </c>
      <c r="C16" s="271"/>
      <c r="D16" s="272"/>
      <c r="E16" s="272">
        <f t="shared" si="2"/>
        <v>0</v>
      </c>
      <c r="F16" s="272" t="str">
        <f t="shared" si="0"/>
        <v>ok</v>
      </c>
      <c r="G16" s="272"/>
      <c r="H16" s="273"/>
      <c r="I16" s="273"/>
      <c r="J16" s="273"/>
      <c r="K16" s="273"/>
      <c r="L16" s="272"/>
      <c r="M16" s="266">
        <f t="shared" si="5"/>
        <v>0</v>
      </c>
      <c r="N16" s="266" t="str">
        <f t="shared" si="1"/>
        <v>ok</v>
      </c>
      <c r="O16" s="275"/>
      <c r="P16" s="270" t="e">
        <f t="shared" si="3"/>
        <v>#DIV/0!</v>
      </c>
      <c r="Q16" t="e">
        <f t="shared" si="4"/>
        <v>#DIV/0!</v>
      </c>
    </row>
    <row r="17" spans="1:18" ht="15.75" thickBot="1" x14ac:dyDescent="0.3">
      <c r="A17" s="428"/>
      <c r="B17" s="263" t="s">
        <v>166</v>
      </c>
      <c r="C17" s="271"/>
      <c r="D17" s="272"/>
      <c r="E17" s="272">
        <f t="shared" si="2"/>
        <v>0</v>
      </c>
      <c r="F17" s="272" t="str">
        <f t="shared" si="0"/>
        <v>ok</v>
      </c>
      <c r="G17" s="272"/>
      <c r="H17" s="273"/>
      <c r="I17" s="273"/>
      <c r="J17" s="273"/>
      <c r="K17" s="273"/>
      <c r="L17" s="272"/>
      <c r="M17" s="277">
        <f t="shared" si="5"/>
        <v>0</v>
      </c>
      <c r="N17" s="277" t="str">
        <f t="shared" si="1"/>
        <v>ok</v>
      </c>
      <c r="O17" s="275"/>
      <c r="P17" s="270" t="e">
        <f t="shared" si="3"/>
        <v>#DIV/0!</v>
      </c>
      <c r="Q17" t="e">
        <f t="shared" si="4"/>
        <v>#DIV/0!</v>
      </c>
    </row>
    <row r="18" spans="1:18" x14ac:dyDescent="0.25">
      <c r="A18" s="429" t="s">
        <v>167</v>
      </c>
      <c r="B18" s="278" t="s">
        <v>151</v>
      </c>
      <c r="C18" s="279"/>
      <c r="D18" s="280"/>
      <c r="E18" s="280">
        <f t="shared" si="2"/>
        <v>0</v>
      </c>
      <c r="F18" s="280" t="str">
        <f t="shared" si="0"/>
        <v>ok</v>
      </c>
      <c r="G18" s="280"/>
      <c r="H18" s="281"/>
      <c r="I18" s="281"/>
      <c r="J18" s="281"/>
      <c r="K18" s="281"/>
      <c r="L18" s="280"/>
      <c r="M18" s="282">
        <f t="shared" si="5"/>
        <v>0</v>
      </c>
      <c r="N18" s="282" t="str">
        <f t="shared" si="1"/>
        <v>ok</v>
      </c>
      <c r="O18" s="283"/>
      <c r="P18" s="270" t="e">
        <f t="shared" si="3"/>
        <v>#DIV/0!</v>
      </c>
      <c r="Q18" t="e">
        <f t="shared" si="4"/>
        <v>#DIV/0!</v>
      </c>
    </row>
    <row r="19" spans="1:18" x14ac:dyDescent="0.25">
      <c r="A19" s="430"/>
      <c r="B19" s="284" t="s">
        <v>152</v>
      </c>
      <c r="C19" s="282"/>
      <c r="D19" s="285"/>
      <c r="E19" s="285">
        <f t="shared" si="2"/>
        <v>0</v>
      </c>
      <c r="F19" s="285" t="str">
        <f t="shared" si="0"/>
        <v>ok</v>
      </c>
      <c r="G19" s="285"/>
      <c r="H19" s="286"/>
      <c r="I19" s="286"/>
      <c r="J19" s="286"/>
      <c r="K19" s="286"/>
      <c r="L19" s="285"/>
      <c r="M19" s="282">
        <f t="shared" si="5"/>
        <v>0</v>
      </c>
      <c r="N19" s="282" t="str">
        <f t="shared" si="1"/>
        <v>ok</v>
      </c>
      <c r="O19" s="287"/>
      <c r="P19" s="270" t="e">
        <f t="shared" si="3"/>
        <v>#DIV/0!</v>
      </c>
      <c r="Q19" t="e">
        <f t="shared" si="4"/>
        <v>#DIV/0!</v>
      </c>
    </row>
    <row r="20" spans="1:18" x14ac:dyDescent="0.25">
      <c r="A20" s="430"/>
      <c r="B20" s="284" t="s">
        <v>153</v>
      </c>
      <c r="C20" s="282"/>
      <c r="D20" s="285"/>
      <c r="E20" s="285">
        <f t="shared" si="2"/>
        <v>0</v>
      </c>
      <c r="F20" s="285" t="str">
        <f t="shared" si="0"/>
        <v>ok</v>
      </c>
      <c r="G20" s="285"/>
      <c r="H20" s="286"/>
      <c r="I20" s="286"/>
      <c r="J20" s="286"/>
      <c r="K20" s="286"/>
      <c r="L20" s="285"/>
      <c r="M20" s="282">
        <f t="shared" si="5"/>
        <v>0</v>
      </c>
      <c r="N20" s="282" t="str">
        <f t="shared" si="1"/>
        <v>ok</v>
      </c>
      <c r="O20" s="287"/>
      <c r="P20" s="270" t="e">
        <f t="shared" si="3"/>
        <v>#DIV/0!</v>
      </c>
      <c r="Q20" t="e">
        <f t="shared" si="4"/>
        <v>#DIV/0!</v>
      </c>
    </row>
    <row r="21" spans="1:18" x14ac:dyDescent="0.25">
      <c r="A21" s="430"/>
      <c r="B21" s="284" t="s">
        <v>154</v>
      </c>
      <c r="C21" s="282"/>
      <c r="D21" s="285"/>
      <c r="E21" s="285">
        <f t="shared" si="2"/>
        <v>0</v>
      </c>
      <c r="F21" s="285" t="str">
        <f t="shared" si="0"/>
        <v>ok</v>
      </c>
      <c r="G21" s="285"/>
      <c r="H21" s="286"/>
      <c r="I21" s="286"/>
      <c r="J21" s="286"/>
      <c r="K21" s="286"/>
      <c r="L21" s="285"/>
      <c r="M21" s="282">
        <f t="shared" si="5"/>
        <v>0</v>
      </c>
      <c r="N21" s="282" t="str">
        <f t="shared" si="1"/>
        <v>ok</v>
      </c>
      <c r="O21" s="287"/>
      <c r="P21" s="270" t="e">
        <f t="shared" si="3"/>
        <v>#DIV/0!</v>
      </c>
      <c r="Q21" t="e">
        <f t="shared" si="4"/>
        <v>#DIV/0!</v>
      </c>
      <c r="R21" s="276"/>
    </row>
    <row r="22" spans="1:18" x14ac:dyDescent="0.25">
      <c r="A22" s="430"/>
      <c r="B22" s="284" t="s">
        <v>155</v>
      </c>
      <c r="C22" s="282"/>
      <c r="D22" s="285"/>
      <c r="E22" s="285">
        <f t="shared" si="2"/>
        <v>0</v>
      </c>
      <c r="F22" s="285" t="str">
        <f t="shared" si="0"/>
        <v>ok</v>
      </c>
      <c r="G22" s="285"/>
      <c r="H22" s="286"/>
      <c r="I22" s="286"/>
      <c r="J22" s="286"/>
      <c r="K22" s="286"/>
      <c r="L22" s="285"/>
      <c r="M22" s="282">
        <f t="shared" si="5"/>
        <v>0</v>
      </c>
      <c r="N22" s="282" t="str">
        <f t="shared" si="1"/>
        <v>ok</v>
      </c>
      <c r="O22" s="287"/>
      <c r="P22" s="270" t="e">
        <f t="shared" si="3"/>
        <v>#DIV/0!</v>
      </c>
      <c r="Q22" t="e">
        <f t="shared" si="4"/>
        <v>#DIV/0!</v>
      </c>
    </row>
    <row r="23" spans="1:18" x14ac:dyDescent="0.25">
      <c r="A23" s="430"/>
      <c r="B23" s="284" t="s">
        <v>156</v>
      </c>
      <c r="C23" s="282"/>
      <c r="D23" s="285"/>
      <c r="E23" s="285">
        <f t="shared" si="2"/>
        <v>0</v>
      </c>
      <c r="F23" s="285" t="str">
        <f t="shared" si="0"/>
        <v>ok</v>
      </c>
      <c r="G23" s="285"/>
      <c r="H23" s="286"/>
      <c r="I23" s="286"/>
      <c r="J23" s="286"/>
      <c r="K23" s="286"/>
      <c r="L23" s="285"/>
      <c r="M23" s="282">
        <f t="shared" si="5"/>
        <v>0</v>
      </c>
      <c r="N23" s="282" t="str">
        <f t="shared" si="1"/>
        <v>ok</v>
      </c>
      <c r="O23" s="287"/>
      <c r="P23" s="270" t="e">
        <f t="shared" si="3"/>
        <v>#DIV/0!</v>
      </c>
      <c r="Q23" t="e">
        <f t="shared" si="4"/>
        <v>#DIV/0!</v>
      </c>
    </row>
    <row r="24" spans="1:18" x14ac:dyDescent="0.25">
      <c r="A24" s="430"/>
      <c r="B24" s="284" t="s">
        <v>157</v>
      </c>
      <c r="C24" s="282"/>
      <c r="D24" s="285"/>
      <c r="E24" s="285">
        <f t="shared" si="2"/>
        <v>0</v>
      </c>
      <c r="F24" s="285" t="str">
        <f t="shared" si="0"/>
        <v>ok</v>
      </c>
      <c r="G24" s="285"/>
      <c r="H24" s="286"/>
      <c r="I24" s="286"/>
      <c r="J24" s="286"/>
      <c r="K24" s="286"/>
      <c r="L24" s="285"/>
      <c r="M24" s="282">
        <f t="shared" si="5"/>
        <v>0</v>
      </c>
      <c r="N24" s="282" t="str">
        <f t="shared" si="1"/>
        <v>ok</v>
      </c>
      <c r="O24" s="287"/>
      <c r="P24" s="270" t="e">
        <f t="shared" si="3"/>
        <v>#DIV/0!</v>
      </c>
      <c r="Q24" t="e">
        <f t="shared" si="4"/>
        <v>#DIV/0!</v>
      </c>
    </row>
    <row r="25" spans="1:18" x14ac:dyDescent="0.25">
      <c r="A25" s="430"/>
      <c r="B25" s="284" t="s">
        <v>158</v>
      </c>
      <c r="C25" s="282"/>
      <c r="D25" s="285"/>
      <c r="E25" s="285">
        <f t="shared" si="2"/>
        <v>0</v>
      </c>
      <c r="F25" s="285" t="str">
        <f t="shared" si="0"/>
        <v>ok</v>
      </c>
      <c r="G25" s="285"/>
      <c r="H25" s="286"/>
      <c r="I25" s="286"/>
      <c r="J25" s="286"/>
      <c r="K25" s="286"/>
      <c r="L25" s="285"/>
      <c r="M25" s="282">
        <f t="shared" si="5"/>
        <v>0</v>
      </c>
      <c r="N25" s="282" t="str">
        <f t="shared" si="1"/>
        <v>ok</v>
      </c>
      <c r="O25" s="287"/>
      <c r="P25" s="270" t="e">
        <f t="shared" si="3"/>
        <v>#DIV/0!</v>
      </c>
      <c r="Q25" t="e">
        <f t="shared" si="4"/>
        <v>#DIV/0!</v>
      </c>
    </row>
    <row r="26" spans="1:18" x14ac:dyDescent="0.25">
      <c r="A26" s="430"/>
      <c r="B26" s="284" t="s">
        <v>159</v>
      </c>
      <c r="C26" s="282"/>
      <c r="D26" s="285"/>
      <c r="E26" s="285">
        <f t="shared" si="2"/>
        <v>0</v>
      </c>
      <c r="F26" s="285" t="str">
        <f t="shared" si="0"/>
        <v>ok</v>
      </c>
      <c r="G26" s="285"/>
      <c r="H26" s="286"/>
      <c r="I26" s="286"/>
      <c r="J26" s="286"/>
      <c r="K26" s="286"/>
      <c r="L26" s="285"/>
      <c r="M26" s="282">
        <f t="shared" si="5"/>
        <v>0</v>
      </c>
      <c r="N26" s="282" t="str">
        <f t="shared" si="1"/>
        <v>ok</v>
      </c>
      <c r="O26" s="287"/>
      <c r="P26" s="270" t="e">
        <f t="shared" si="3"/>
        <v>#DIV/0!</v>
      </c>
      <c r="Q26" t="e">
        <f t="shared" si="4"/>
        <v>#DIV/0!</v>
      </c>
    </row>
    <row r="27" spans="1:18" x14ac:dyDescent="0.25">
      <c r="A27" s="430"/>
      <c r="B27" s="284" t="s">
        <v>160</v>
      </c>
      <c r="C27" s="282"/>
      <c r="D27" s="285"/>
      <c r="E27" s="285">
        <f t="shared" si="2"/>
        <v>0</v>
      </c>
      <c r="F27" s="285" t="str">
        <f t="shared" si="0"/>
        <v>ok</v>
      </c>
      <c r="G27" s="285"/>
      <c r="H27" s="286"/>
      <c r="I27" s="286"/>
      <c r="J27" s="286"/>
      <c r="K27" s="286"/>
      <c r="L27" s="285"/>
      <c r="M27" s="282">
        <f t="shared" si="5"/>
        <v>0</v>
      </c>
      <c r="N27" s="282" t="str">
        <f t="shared" si="1"/>
        <v>ok</v>
      </c>
      <c r="O27" s="287"/>
      <c r="P27" s="270" t="e">
        <f t="shared" si="3"/>
        <v>#DIV/0!</v>
      </c>
      <c r="Q27" t="e">
        <f t="shared" si="4"/>
        <v>#DIV/0!</v>
      </c>
    </row>
    <row r="28" spans="1:18" x14ac:dyDescent="0.25">
      <c r="A28" s="430"/>
      <c r="B28" s="284" t="s">
        <v>161</v>
      </c>
      <c r="C28" s="282"/>
      <c r="D28" s="285"/>
      <c r="E28" s="285">
        <f t="shared" si="2"/>
        <v>0</v>
      </c>
      <c r="F28" s="285" t="str">
        <f t="shared" si="0"/>
        <v>ok</v>
      </c>
      <c r="G28" s="285"/>
      <c r="H28" s="286"/>
      <c r="I28" s="286"/>
      <c r="J28" s="286"/>
      <c r="K28" s="286"/>
      <c r="L28" s="285"/>
      <c r="M28" s="282">
        <f t="shared" si="5"/>
        <v>0</v>
      </c>
      <c r="N28" s="282" t="str">
        <f t="shared" si="1"/>
        <v>ok</v>
      </c>
      <c r="O28" s="287"/>
      <c r="P28" s="270"/>
      <c r="Q28" t="str">
        <f t="shared" si="4"/>
        <v>ok</v>
      </c>
    </row>
    <row r="29" spans="1:18" x14ac:dyDescent="0.25">
      <c r="A29" s="430"/>
      <c r="B29" s="284" t="s">
        <v>162</v>
      </c>
      <c r="C29" s="282"/>
      <c r="D29" s="285"/>
      <c r="E29" s="285">
        <f t="shared" si="2"/>
        <v>0</v>
      </c>
      <c r="F29" s="285" t="str">
        <f t="shared" si="0"/>
        <v>ok</v>
      </c>
      <c r="G29" s="285"/>
      <c r="H29" s="286"/>
      <c r="I29" s="286"/>
      <c r="J29" s="286"/>
      <c r="K29" s="286"/>
      <c r="L29" s="285"/>
      <c r="M29" s="282">
        <f t="shared" si="5"/>
        <v>0</v>
      </c>
      <c r="N29" s="282" t="str">
        <f t="shared" si="1"/>
        <v>ok</v>
      </c>
      <c r="O29" s="287"/>
      <c r="P29" s="270"/>
      <c r="Q29" t="str">
        <f t="shared" si="4"/>
        <v>ok</v>
      </c>
    </row>
    <row r="30" spans="1:18" x14ac:dyDescent="0.25">
      <c r="A30" s="430"/>
      <c r="B30" s="284" t="s">
        <v>163</v>
      </c>
      <c r="C30" s="282"/>
      <c r="D30" s="285"/>
      <c r="E30" s="285">
        <f t="shared" si="2"/>
        <v>0</v>
      </c>
      <c r="F30" s="285" t="str">
        <f t="shared" si="0"/>
        <v>ok</v>
      </c>
      <c r="G30" s="285"/>
      <c r="H30" s="286"/>
      <c r="I30" s="286"/>
      <c r="J30" s="286"/>
      <c r="K30" s="286"/>
      <c r="L30" s="285"/>
      <c r="M30" s="282">
        <f t="shared" si="5"/>
        <v>0</v>
      </c>
      <c r="N30" s="282" t="str">
        <f t="shared" si="1"/>
        <v>ok</v>
      </c>
      <c r="O30" s="287"/>
      <c r="P30" s="270" t="e">
        <f t="shared" ref="P30:P67" si="6">(C30-L30)/C30</f>
        <v>#DIV/0!</v>
      </c>
      <c r="Q30" t="e">
        <f t="shared" si="4"/>
        <v>#DIV/0!</v>
      </c>
    </row>
    <row r="31" spans="1:18" x14ac:dyDescent="0.25">
      <c r="A31" s="430"/>
      <c r="B31" s="284" t="s">
        <v>164</v>
      </c>
      <c r="C31" s="282"/>
      <c r="D31" s="285"/>
      <c r="E31" s="285">
        <f t="shared" si="2"/>
        <v>0</v>
      </c>
      <c r="F31" s="285" t="str">
        <f t="shared" si="0"/>
        <v>ok</v>
      </c>
      <c r="G31" s="285"/>
      <c r="H31" s="286"/>
      <c r="I31" s="286"/>
      <c r="J31" s="286"/>
      <c r="K31" s="286"/>
      <c r="L31" s="285"/>
      <c r="M31" s="282">
        <f t="shared" si="5"/>
        <v>0</v>
      </c>
      <c r="N31" s="282" t="str">
        <f t="shared" si="1"/>
        <v>ok</v>
      </c>
      <c r="O31" s="287"/>
      <c r="P31" s="270" t="e">
        <f t="shared" si="6"/>
        <v>#DIV/0!</v>
      </c>
      <c r="Q31" t="e">
        <f t="shared" si="4"/>
        <v>#DIV/0!</v>
      </c>
    </row>
    <row r="32" spans="1:18" x14ac:dyDescent="0.25">
      <c r="A32" s="430"/>
      <c r="B32" s="284" t="s">
        <v>168</v>
      </c>
      <c r="C32" s="282"/>
      <c r="D32" s="285"/>
      <c r="E32" s="285">
        <f t="shared" si="2"/>
        <v>0</v>
      </c>
      <c r="F32" s="285" t="str">
        <f t="shared" si="0"/>
        <v>ok</v>
      </c>
      <c r="G32" s="285"/>
      <c r="H32" s="286"/>
      <c r="I32" s="286"/>
      <c r="J32" s="286"/>
      <c r="K32" s="286"/>
      <c r="L32" s="285"/>
      <c r="M32" s="282">
        <f t="shared" si="5"/>
        <v>0</v>
      </c>
      <c r="N32" s="282" t="str">
        <f t="shared" si="1"/>
        <v>ok</v>
      </c>
      <c r="O32" s="287"/>
      <c r="P32" s="270" t="e">
        <f t="shared" si="6"/>
        <v>#DIV/0!</v>
      </c>
      <c r="Q32" t="e">
        <f t="shared" si="4"/>
        <v>#DIV/0!</v>
      </c>
    </row>
    <row r="33" spans="1:18" x14ac:dyDescent="0.25">
      <c r="A33" s="430"/>
      <c r="B33" s="284" t="s">
        <v>169</v>
      </c>
      <c r="C33" s="282"/>
      <c r="D33" s="285"/>
      <c r="E33" s="285">
        <f t="shared" si="2"/>
        <v>0</v>
      </c>
      <c r="F33" s="285" t="str">
        <f t="shared" si="0"/>
        <v>ok</v>
      </c>
      <c r="G33" s="285"/>
      <c r="H33" s="286"/>
      <c r="I33" s="286"/>
      <c r="J33" s="286"/>
      <c r="K33" s="286"/>
      <c r="L33" s="285"/>
      <c r="M33" s="282">
        <f t="shared" si="5"/>
        <v>0</v>
      </c>
      <c r="N33" s="282" t="str">
        <f t="shared" si="1"/>
        <v>ok</v>
      </c>
      <c r="O33" s="287"/>
      <c r="P33" s="270" t="e">
        <f t="shared" si="6"/>
        <v>#DIV/0!</v>
      </c>
      <c r="Q33" t="e">
        <f t="shared" si="4"/>
        <v>#DIV/0!</v>
      </c>
    </row>
    <row r="34" spans="1:18" x14ac:dyDescent="0.25">
      <c r="A34" s="430"/>
      <c r="B34" s="284" t="s">
        <v>170</v>
      </c>
      <c r="C34" s="282"/>
      <c r="D34" s="285"/>
      <c r="E34" s="285">
        <f t="shared" si="2"/>
        <v>0</v>
      </c>
      <c r="F34" s="285" t="str">
        <f t="shared" si="0"/>
        <v>ok</v>
      </c>
      <c r="G34" s="285"/>
      <c r="H34" s="286"/>
      <c r="I34" s="286"/>
      <c r="J34" s="286"/>
      <c r="K34" s="286"/>
      <c r="L34" s="285"/>
      <c r="M34" s="288">
        <f t="shared" si="5"/>
        <v>0</v>
      </c>
      <c r="N34" s="288" t="str">
        <f t="shared" si="1"/>
        <v>ok</v>
      </c>
      <c r="O34" s="287"/>
      <c r="P34" s="270" t="e">
        <f t="shared" si="6"/>
        <v>#DIV/0!</v>
      </c>
      <c r="Q34" t="e">
        <f t="shared" si="4"/>
        <v>#DIV/0!</v>
      </c>
    </row>
    <row r="35" spans="1:18" ht="15.75" thickBot="1" x14ac:dyDescent="0.3">
      <c r="A35" s="431"/>
      <c r="B35" s="289" t="s">
        <v>171</v>
      </c>
      <c r="C35" s="290"/>
      <c r="D35" s="291"/>
      <c r="E35" s="291">
        <f t="shared" si="2"/>
        <v>0</v>
      </c>
      <c r="F35" s="291" t="str">
        <f t="shared" si="0"/>
        <v>ok</v>
      </c>
      <c r="G35" s="291"/>
      <c r="H35" s="292"/>
      <c r="I35" s="292"/>
      <c r="J35" s="292"/>
      <c r="K35" s="292"/>
      <c r="L35" s="291"/>
      <c r="M35" s="288">
        <f t="shared" si="5"/>
        <v>0</v>
      </c>
      <c r="N35" s="288" t="str">
        <f t="shared" si="1"/>
        <v>ok</v>
      </c>
      <c r="O35" s="293"/>
      <c r="P35" s="270" t="e">
        <f t="shared" si="6"/>
        <v>#DIV/0!</v>
      </c>
      <c r="Q35" t="e">
        <f t="shared" si="4"/>
        <v>#DIV/0!</v>
      </c>
    </row>
    <row r="36" spans="1:18" ht="15" customHeight="1" x14ac:dyDescent="0.25">
      <c r="A36" s="432" t="s">
        <v>172</v>
      </c>
      <c r="B36" s="294" t="s">
        <v>151</v>
      </c>
      <c r="C36" s="295">
        <v>126.6</v>
      </c>
      <c r="D36" s="296">
        <v>125.145</v>
      </c>
      <c r="E36" s="296">
        <f t="shared" si="2"/>
        <v>126.6</v>
      </c>
      <c r="F36" s="296" t="str">
        <f t="shared" si="0"/>
        <v>ok</v>
      </c>
      <c r="G36" s="296">
        <v>82.54</v>
      </c>
      <c r="H36" s="297"/>
      <c r="I36" s="297">
        <f>0.075-0.015</f>
        <v>0.06</v>
      </c>
      <c r="J36" s="297">
        <v>3.5000000000000003E-2</v>
      </c>
      <c r="K36" s="297">
        <v>1.36</v>
      </c>
      <c r="L36" s="296">
        <f>82.54+1.395</f>
        <v>83.935000000000002</v>
      </c>
      <c r="M36" s="288">
        <f t="shared" si="5"/>
        <v>83.935000000000002</v>
      </c>
      <c r="N36" s="288" t="str">
        <f t="shared" si="1"/>
        <v>ok</v>
      </c>
      <c r="O36" s="298">
        <v>0.33700999999999998</v>
      </c>
      <c r="P36" s="299">
        <f t="shared" si="6"/>
        <v>0.3370063191153238</v>
      </c>
      <c r="Q36" t="str">
        <f>IF(O36=P36,"ok","pas bon")</f>
        <v>pas bon</v>
      </c>
      <c r="R36" s="300"/>
    </row>
    <row r="37" spans="1:18" x14ac:dyDescent="0.25">
      <c r="A37" s="433"/>
      <c r="B37" s="301" t="s">
        <v>152</v>
      </c>
      <c r="C37" s="288">
        <v>128.19999999999999</v>
      </c>
      <c r="D37" s="302">
        <v>127.964</v>
      </c>
      <c r="E37" s="302">
        <f t="shared" si="2"/>
        <v>128.19999999999999</v>
      </c>
      <c r="F37" s="302" t="str">
        <f t="shared" si="0"/>
        <v>ok</v>
      </c>
      <c r="G37" s="302">
        <v>80.42</v>
      </c>
      <c r="H37" s="303"/>
      <c r="I37" s="303"/>
      <c r="J37" s="303">
        <v>0.23599999999999999</v>
      </c>
      <c r="K37" s="303"/>
      <c r="L37" s="302">
        <f>80.42+0.236</f>
        <v>80.656000000000006</v>
      </c>
      <c r="M37" s="288">
        <f t="shared" si="5"/>
        <v>80.656000000000006</v>
      </c>
      <c r="N37" s="288" t="str">
        <f t="shared" si="1"/>
        <v>ok</v>
      </c>
      <c r="O37" s="304">
        <v>0.371</v>
      </c>
      <c r="P37" s="270">
        <f t="shared" si="6"/>
        <v>0.37085803432137276</v>
      </c>
      <c r="Q37" t="str">
        <f t="shared" si="4"/>
        <v>pas bon</v>
      </c>
      <c r="R37" s="300"/>
    </row>
    <row r="38" spans="1:18" x14ac:dyDescent="0.25">
      <c r="A38" s="433"/>
      <c r="B38" s="301" t="s">
        <v>153</v>
      </c>
      <c r="C38" s="288">
        <v>126.8</v>
      </c>
      <c r="D38" s="302">
        <v>126.8</v>
      </c>
      <c r="E38" s="302">
        <f t="shared" si="2"/>
        <v>126.8</v>
      </c>
      <c r="F38" s="302" t="str">
        <f t="shared" si="0"/>
        <v>ok</v>
      </c>
      <c r="G38" s="302">
        <v>80.22</v>
      </c>
      <c r="H38" s="303"/>
      <c r="I38" s="303"/>
      <c r="J38" s="303"/>
      <c r="K38" s="303"/>
      <c r="L38" s="302">
        <v>80.22</v>
      </c>
      <c r="M38" s="288">
        <f t="shared" si="5"/>
        <v>80.22</v>
      </c>
      <c r="N38" s="288" t="str">
        <f t="shared" si="1"/>
        <v>ok</v>
      </c>
      <c r="O38" s="304">
        <v>0.36699999999999999</v>
      </c>
      <c r="P38" s="270">
        <f t="shared" si="6"/>
        <v>0.36735015772870661</v>
      </c>
      <c r="Q38" t="str">
        <f t="shared" si="4"/>
        <v>pas bon</v>
      </c>
      <c r="R38" s="300"/>
    </row>
    <row r="39" spans="1:18" x14ac:dyDescent="0.25">
      <c r="A39" s="433"/>
      <c r="B39" s="301" t="s">
        <v>154</v>
      </c>
      <c r="C39" s="288">
        <v>126.4</v>
      </c>
      <c r="D39" s="302">
        <v>126.4</v>
      </c>
      <c r="E39" s="302">
        <f t="shared" si="2"/>
        <v>126.4</v>
      </c>
      <c r="F39" s="302" t="str">
        <f t="shared" si="0"/>
        <v>ok</v>
      </c>
      <c r="G39" s="302">
        <v>76.92</v>
      </c>
      <c r="H39" s="303"/>
      <c r="I39" s="303"/>
      <c r="J39" s="303"/>
      <c r="K39" s="303"/>
      <c r="L39" s="302">
        <v>76.92</v>
      </c>
      <c r="M39" s="288">
        <f t="shared" si="5"/>
        <v>76.92</v>
      </c>
      <c r="N39" s="288" t="str">
        <f t="shared" si="1"/>
        <v>ok</v>
      </c>
      <c r="O39" s="304">
        <v>0.39100000000000001</v>
      </c>
      <c r="P39" s="270">
        <f t="shared" si="6"/>
        <v>0.39145569620253168</v>
      </c>
      <c r="Q39" t="str">
        <f t="shared" si="4"/>
        <v>pas bon</v>
      </c>
      <c r="R39" s="300"/>
    </row>
    <row r="40" spans="1:18" x14ac:dyDescent="0.25">
      <c r="A40" s="433"/>
      <c r="B40" s="301" t="s">
        <v>155</v>
      </c>
      <c r="C40" s="288">
        <v>125.65</v>
      </c>
      <c r="D40" s="302">
        <v>125.36</v>
      </c>
      <c r="E40" s="302">
        <f t="shared" si="2"/>
        <v>125.64999999999999</v>
      </c>
      <c r="F40" s="302" t="str">
        <f t="shared" si="0"/>
        <v>ok</v>
      </c>
      <c r="G40" s="302">
        <v>81.239999999999995</v>
      </c>
      <c r="H40" s="303"/>
      <c r="I40" s="303">
        <f>0.323-0.106</f>
        <v>0.21700000000000003</v>
      </c>
      <c r="J40" s="303">
        <v>7.2999999999999995E-2</v>
      </c>
      <c r="K40" s="303"/>
      <c r="L40" s="302">
        <f>81.24+0.073</f>
        <v>81.312999999999988</v>
      </c>
      <c r="M40" s="288">
        <f t="shared" si="5"/>
        <v>81.312999999999988</v>
      </c>
      <c r="N40" s="288" t="str">
        <f t="shared" si="1"/>
        <v>ok</v>
      </c>
      <c r="O40" s="304">
        <v>0.35299999999999998</v>
      </c>
      <c r="P40" s="270">
        <f t="shared" si="6"/>
        <v>0.35286112216474347</v>
      </c>
      <c r="Q40" t="str">
        <f t="shared" si="4"/>
        <v>pas bon</v>
      </c>
      <c r="R40" s="300"/>
    </row>
    <row r="41" spans="1:18" x14ac:dyDescent="0.25">
      <c r="A41" s="433"/>
      <c r="B41" s="301" t="s">
        <v>156</v>
      </c>
      <c r="C41" s="288">
        <v>127.36</v>
      </c>
      <c r="D41" s="302">
        <v>124.887</v>
      </c>
      <c r="E41" s="302">
        <f t="shared" si="2"/>
        <v>127.36000000000001</v>
      </c>
      <c r="F41" s="302" t="str">
        <f t="shared" si="0"/>
        <v>ok</v>
      </c>
      <c r="G41" s="302">
        <v>78.44</v>
      </c>
      <c r="H41" s="303">
        <v>0.95899999999999996</v>
      </c>
      <c r="I41" s="303">
        <f>0.568-0.034</f>
        <v>0.53399999999999992</v>
      </c>
      <c r="J41" s="303"/>
      <c r="K41" s="303">
        <v>0.98</v>
      </c>
      <c r="L41" s="302">
        <f>78.44+0.959+0.98</f>
        <v>80.379000000000005</v>
      </c>
      <c r="M41" s="288">
        <f t="shared" si="5"/>
        <v>80.379000000000005</v>
      </c>
      <c r="N41" s="288" t="str">
        <f t="shared" si="1"/>
        <v>ok</v>
      </c>
      <c r="O41" s="304">
        <v>0.36899999999999999</v>
      </c>
      <c r="P41" s="270">
        <f t="shared" si="6"/>
        <v>0.36888347989949744</v>
      </c>
      <c r="Q41" t="str">
        <f t="shared" si="4"/>
        <v>pas bon</v>
      </c>
      <c r="R41" s="300"/>
    </row>
    <row r="42" spans="1:18" x14ac:dyDescent="0.25">
      <c r="A42" s="433"/>
      <c r="B42" s="301" t="s">
        <v>157</v>
      </c>
      <c r="C42" s="288">
        <v>126.08</v>
      </c>
      <c r="D42" s="302">
        <v>126.08</v>
      </c>
      <c r="E42" s="302">
        <f t="shared" si="2"/>
        <v>126.08</v>
      </c>
      <c r="F42" s="302" t="str">
        <f t="shared" si="0"/>
        <v>ok</v>
      </c>
      <c r="G42" s="302">
        <v>76.44</v>
      </c>
      <c r="H42" s="303"/>
      <c r="I42" s="303"/>
      <c r="J42" s="303"/>
      <c r="K42" s="303"/>
      <c r="L42" s="302">
        <v>76.44</v>
      </c>
      <c r="M42" s="288">
        <f t="shared" si="5"/>
        <v>76.44</v>
      </c>
      <c r="N42" s="288" t="str">
        <f t="shared" si="1"/>
        <v>ok</v>
      </c>
      <c r="O42" s="304">
        <v>0.39400000000000002</v>
      </c>
      <c r="P42" s="270">
        <f t="shared" si="6"/>
        <v>0.39371827411167515</v>
      </c>
      <c r="Q42" t="str">
        <f t="shared" si="4"/>
        <v>pas bon</v>
      </c>
      <c r="R42" s="300"/>
    </row>
    <row r="43" spans="1:18" x14ac:dyDescent="0.25">
      <c r="A43" s="433"/>
      <c r="B43" s="301" t="s">
        <v>158</v>
      </c>
      <c r="C43" s="288">
        <v>129.02000000000001</v>
      </c>
      <c r="D43" s="302">
        <v>128.78299999999999</v>
      </c>
      <c r="E43" s="302">
        <f t="shared" si="2"/>
        <v>129.01999999999998</v>
      </c>
      <c r="F43" s="302" t="str">
        <f t="shared" si="0"/>
        <v>ok</v>
      </c>
      <c r="G43" s="302">
        <v>67.88</v>
      </c>
      <c r="H43" s="303"/>
      <c r="I43" s="303">
        <f>0.263-0.026</f>
        <v>0.23700000000000002</v>
      </c>
      <c r="J43" s="303"/>
      <c r="K43" s="303"/>
      <c r="L43" s="302">
        <v>67.88</v>
      </c>
      <c r="M43" s="288">
        <f>G43+H43+J43+K43</f>
        <v>67.88</v>
      </c>
      <c r="N43" s="288" t="str">
        <f t="shared" si="1"/>
        <v>ok</v>
      </c>
      <c r="O43" s="304">
        <v>0.47399999999999998</v>
      </c>
      <c r="P43" s="270">
        <f>(C43-L43)/C43</f>
        <v>0.47388001860176726</v>
      </c>
      <c r="Q43" t="str">
        <f t="shared" si="4"/>
        <v>pas bon</v>
      </c>
      <c r="R43" s="300"/>
    </row>
    <row r="44" spans="1:18" x14ac:dyDescent="0.25">
      <c r="A44" s="433"/>
      <c r="B44" s="301" t="s">
        <v>159</v>
      </c>
      <c r="C44" s="288">
        <v>128.6</v>
      </c>
      <c r="D44" s="302">
        <v>128.6</v>
      </c>
      <c r="E44" s="302">
        <f t="shared" si="2"/>
        <v>128.6</v>
      </c>
      <c r="F44" s="302" t="str">
        <f t="shared" si="0"/>
        <v>ok</v>
      </c>
      <c r="G44" s="302">
        <v>69.599999999999994</v>
      </c>
      <c r="H44" s="303"/>
      <c r="I44" s="303"/>
      <c r="J44" s="303"/>
      <c r="K44" s="303"/>
      <c r="L44" s="302">
        <v>69.599999999999994</v>
      </c>
      <c r="M44" s="288">
        <f t="shared" si="5"/>
        <v>69.599999999999994</v>
      </c>
      <c r="N44" s="288" t="str">
        <f t="shared" si="1"/>
        <v>ok</v>
      </c>
      <c r="O44" s="304">
        <v>0.45900000000000002</v>
      </c>
      <c r="P44" s="270">
        <f t="shared" si="6"/>
        <v>0.45878693623639194</v>
      </c>
      <c r="Q44" t="str">
        <f t="shared" si="4"/>
        <v>pas bon</v>
      </c>
      <c r="R44" s="300"/>
    </row>
    <row r="45" spans="1:18" x14ac:dyDescent="0.25">
      <c r="A45" s="433"/>
      <c r="B45" s="301" t="s">
        <v>160</v>
      </c>
      <c r="C45" s="288">
        <v>130.1</v>
      </c>
      <c r="D45" s="302">
        <v>127.96</v>
      </c>
      <c r="E45" s="302">
        <f t="shared" si="2"/>
        <v>130.1</v>
      </c>
      <c r="F45" s="302" t="str">
        <f t="shared" si="0"/>
        <v>ok</v>
      </c>
      <c r="G45" s="302">
        <v>76.959999999999994</v>
      </c>
      <c r="H45" s="303"/>
      <c r="I45" s="303">
        <f>2.28-0.14</f>
        <v>2.1399999999999997</v>
      </c>
      <c r="J45" s="303"/>
      <c r="K45" s="303"/>
      <c r="L45" s="302">
        <v>76.959999999999994</v>
      </c>
      <c r="M45" s="288">
        <f t="shared" si="5"/>
        <v>76.959999999999994</v>
      </c>
      <c r="N45" s="288" t="str">
        <f t="shared" si="1"/>
        <v>ok</v>
      </c>
      <c r="O45" s="304">
        <v>0.40799999999999997</v>
      </c>
      <c r="P45" s="270">
        <f t="shared" si="6"/>
        <v>0.40845503458877791</v>
      </c>
      <c r="Q45" t="str">
        <f t="shared" si="4"/>
        <v>pas bon</v>
      </c>
      <c r="R45" s="300"/>
    </row>
    <row r="46" spans="1:18" x14ac:dyDescent="0.25">
      <c r="A46" s="433"/>
      <c r="B46" s="301" t="s">
        <v>161</v>
      </c>
      <c r="C46" s="288">
        <v>124.6</v>
      </c>
      <c r="D46" s="302">
        <v>122.44799999999999</v>
      </c>
      <c r="E46" s="302">
        <f t="shared" si="2"/>
        <v>124.59999999999998</v>
      </c>
      <c r="F46" s="302" t="str">
        <f t="shared" si="0"/>
        <v>ok</v>
      </c>
      <c r="G46" s="302">
        <v>81.16</v>
      </c>
      <c r="H46" s="303"/>
      <c r="I46" s="303">
        <f>0.461-0.048</f>
        <v>0.41300000000000003</v>
      </c>
      <c r="J46" s="303">
        <v>7.9000000000000001E-2</v>
      </c>
      <c r="K46" s="303">
        <v>1.66</v>
      </c>
      <c r="L46" s="302">
        <f>81.16+0.079+1.66</f>
        <v>82.898999999999987</v>
      </c>
      <c r="M46" s="288">
        <f t="shared" si="5"/>
        <v>82.898999999999987</v>
      </c>
      <c r="N46" s="288" t="str">
        <f t="shared" si="1"/>
        <v>ok</v>
      </c>
      <c r="O46" s="304">
        <v>0.33500000000000002</v>
      </c>
      <c r="P46" s="270">
        <f t="shared" si="6"/>
        <v>0.33467897271268066</v>
      </c>
      <c r="Q46" t="str">
        <f t="shared" si="4"/>
        <v>pas bon</v>
      </c>
      <c r="R46" s="300"/>
    </row>
    <row r="47" spans="1:18" x14ac:dyDescent="0.25">
      <c r="A47" s="433"/>
      <c r="B47" s="301" t="s">
        <v>162</v>
      </c>
      <c r="C47" s="288">
        <v>124.6</v>
      </c>
      <c r="D47" s="302">
        <v>121.502</v>
      </c>
      <c r="E47" s="302">
        <f t="shared" si="2"/>
        <v>124.6</v>
      </c>
      <c r="F47" s="302" t="str">
        <f t="shared" si="0"/>
        <v>ok</v>
      </c>
      <c r="G47" s="302">
        <v>75.900000000000006</v>
      </c>
      <c r="H47" s="303"/>
      <c r="I47" s="303">
        <f>2.865-0.227</f>
        <v>2.6380000000000003</v>
      </c>
      <c r="J47" s="303"/>
      <c r="K47" s="303">
        <v>0.46</v>
      </c>
      <c r="L47" s="302">
        <f>75.9+0.46</f>
        <v>76.36</v>
      </c>
      <c r="M47" s="288">
        <f t="shared" si="5"/>
        <v>76.36</v>
      </c>
      <c r="N47" s="288" t="str">
        <f t="shared" si="1"/>
        <v>ok</v>
      </c>
      <c r="O47" s="304">
        <v>0.38700000000000001</v>
      </c>
      <c r="P47" s="270">
        <f t="shared" si="6"/>
        <v>0.38715890850722307</v>
      </c>
      <c r="Q47" t="str">
        <f t="shared" si="4"/>
        <v>pas bon</v>
      </c>
      <c r="R47" s="300"/>
    </row>
    <row r="48" spans="1:18" x14ac:dyDescent="0.25">
      <c r="A48" s="433"/>
      <c r="B48" s="301" t="s">
        <v>163</v>
      </c>
      <c r="C48" s="288">
        <v>127</v>
      </c>
      <c r="D48" s="302">
        <v>127</v>
      </c>
      <c r="E48" s="302">
        <f t="shared" si="2"/>
        <v>127</v>
      </c>
      <c r="F48" s="302" t="str">
        <f t="shared" si="0"/>
        <v>ok</v>
      </c>
      <c r="G48" s="302">
        <v>78.16</v>
      </c>
      <c r="H48" s="303"/>
      <c r="I48" s="303"/>
      <c r="J48" s="303"/>
      <c r="K48" s="303"/>
      <c r="L48" s="302">
        <v>78.16</v>
      </c>
      <c r="M48" s="288">
        <f t="shared" si="5"/>
        <v>78.16</v>
      </c>
      <c r="N48" s="288" t="str">
        <f t="shared" si="1"/>
        <v>ok</v>
      </c>
      <c r="O48" s="304">
        <v>0.38500000000000001</v>
      </c>
      <c r="P48" s="270">
        <f t="shared" si="6"/>
        <v>0.38456692913385832</v>
      </c>
      <c r="Q48" t="str">
        <f t="shared" si="4"/>
        <v>pas bon</v>
      </c>
      <c r="R48" s="300"/>
    </row>
    <row r="49" spans="1:18" x14ac:dyDescent="0.25">
      <c r="A49" s="433"/>
      <c r="B49" s="301" t="s">
        <v>164</v>
      </c>
      <c r="C49" s="288">
        <v>126.7</v>
      </c>
      <c r="D49" s="302">
        <v>126.364</v>
      </c>
      <c r="E49" s="302">
        <f t="shared" si="2"/>
        <v>126.7</v>
      </c>
      <c r="F49" s="302" t="str">
        <f t="shared" si="0"/>
        <v>ok</v>
      </c>
      <c r="G49" s="302">
        <v>91.06</v>
      </c>
      <c r="H49" s="303"/>
      <c r="I49" s="303">
        <f>0.412-0.076</f>
        <v>0.33599999999999997</v>
      </c>
      <c r="J49" s="303"/>
      <c r="K49" s="303"/>
      <c r="L49" s="302">
        <v>91.06</v>
      </c>
      <c r="M49" s="288">
        <f t="shared" si="5"/>
        <v>91.06</v>
      </c>
      <c r="N49" s="288" t="str">
        <f t="shared" si="1"/>
        <v>ok</v>
      </c>
      <c r="O49" s="304">
        <v>0.28100000000000003</v>
      </c>
      <c r="P49" s="270">
        <f t="shared" si="6"/>
        <v>0.2812943962115233</v>
      </c>
      <c r="Q49" t="str">
        <f t="shared" si="4"/>
        <v>pas bon</v>
      </c>
      <c r="R49" s="300"/>
    </row>
    <row r="50" spans="1:18" x14ac:dyDescent="0.25">
      <c r="A50" s="433"/>
      <c r="B50" s="301" t="s">
        <v>165</v>
      </c>
      <c r="C50" s="288">
        <v>129.1</v>
      </c>
      <c r="D50" s="302">
        <v>128.66300000000001</v>
      </c>
      <c r="E50" s="302">
        <f t="shared" si="2"/>
        <v>129.1</v>
      </c>
      <c r="F50" s="302" t="str">
        <f t="shared" si="0"/>
        <v>ok</v>
      </c>
      <c r="G50" s="302">
        <v>76.680000000000007</v>
      </c>
      <c r="H50" s="303"/>
      <c r="I50" s="303">
        <f>0.357-0.048</f>
        <v>0.309</v>
      </c>
      <c r="J50" s="303">
        <v>0.128</v>
      </c>
      <c r="K50" s="303"/>
      <c r="L50" s="302">
        <f>76.68+0.128</f>
        <v>76.808000000000007</v>
      </c>
      <c r="M50" s="305">
        <f t="shared" si="5"/>
        <v>76.808000000000007</v>
      </c>
      <c r="N50" s="305" t="str">
        <f t="shared" si="1"/>
        <v>ok</v>
      </c>
      <c r="O50" s="304">
        <v>0.40500000000000003</v>
      </c>
      <c r="P50" s="270">
        <f t="shared" si="6"/>
        <v>0.40505034856700223</v>
      </c>
      <c r="Q50" t="str">
        <f t="shared" si="4"/>
        <v>pas bon</v>
      </c>
      <c r="R50" s="300"/>
    </row>
    <row r="51" spans="1:18" x14ac:dyDescent="0.25">
      <c r="A51" s="433"/>
      <c r="B51" s="301" t="s">
        <v>166</v>
      </c>
      <c r="C51" s="288">
        <v>129.4</v>
      </c>
      <c r="D51" s="302">
        <v>128.999</v>
      </c>
      <c r="E51" s="302">
        <f t="shared" si="2"/>
        <v>129.4</v>
      </c>
      <c r="F51" s="302" t="str">
        <f t="shared" si="0"/>
        <v>ok</v>
      </c>
      <c r="G51" s="302">
        <v>76.239999999999995</v>
      </c>
      <c r="H51" s="303"/>
      <c r="I51" s="303">
        <f>0.469-0.068</f>
        <v>0.40099999999999997</v>
      </c>
      <c r="J51" s="303"/>
      <c r="K51" s="303"/>
      <c r="L51" s="302">
        <v>76.239999999999995</v>
      </c>
      <c r="M51" s="305">
        <f t="shared" si="5"/>
        <v>76.239999999999995</v>
      </c>
      <c r="N51" s="305" t="str">
        <f t="shared" si="1"/>
        <v>ok</v>
      </c>
      <c r="O51" s="304">
        <v>0.41099999999999998</v>
      </c>
      <c r="P51" s="270">
        <f t="shared" si="6"/>
        <v>0.41081916537867086</v>
      </c>
      <c r="Q51" t="str">
        <f t="shared" si="4"/>
        <v>pas bon</v>
      </c>
      <c r="R51" s="300"/>
    </row>
    <row r="52" spans="1:18" x14ac:dyDescent="0.25">
      <c r="A52" s="434" t="s">
        <v>173</v>
      </c>
      <c r="B52" s="306" t="s">
        <v>151</v>
      </c>
      <c r="C52" s="305"/>
      <c r="D52" s="307"/>
      <c r="E52" s="307">
        <f>D52+H52+I52+J52+K52</f>
        <v>0</v>
      </c>
      <c r="F52" s="307" t="str">
        <f t="shared" si="0"/>
        <v>ok</v>
      </c>
      <c r="G52" s="307"/>
      <c r="H52" s="308"/>
      <c r="I52" s="308"/>
      <c r="J52" s="308"/>
      <c r="K52" s="308"/>
      <c r="L52" s="307"/>
      <c r="M52" s="305">
        <f t="shared" si="5"/>
        <v>0</v>
      </c>
      <c r="N52" s="305" t="str">
        <f t="shared" si="1"/>
        <v>ok</v>
      </c>
      <c r="O52" s="309"/>
      <c r="P52" s="270" t="e">
        <f t="shared" si="6"/>
        <v>#DIV/0!</v>
      </c>
      <c r="Q52" t="e">
        <f t="shared" si="4"/>
        <v>#DIV/0!</v>
      </c>
    </row>
    <row r="53" spans="1:18" x14ac:dyDescent="0.25">
      <c r="A53" s="434"/>
      <c r="B53" s="306" t="s">
        <v>152</v>
      </c>
      <c r="C53" s="305"/>
      <c r="D53" s="307"/>
      <c r="E53" s="307">
        <f t="shared" si="2"/>
        <v>0</v>
      </c>
      <c r="F53" s="307" t="str">
        <f t="shared" si="0"/>
        <v>ok</v>
      </c>
      <c r="G53" s="307"/>
      <c r="H53" s="308"/>
      <c r="I53" s="308"/>
      <c r="J53" s="308"/>
      <c r="K53" s="308"/>
      <c r="L53" s="307"/>
      <c r="M53" s="305">
        <f t="shared" si="5"/>
        <v>0</v>
      </c>
      <c r="N53" s="305" t="str">
        <f t="shared" si="1"/>
        <v>ok</v>
      </c>
      <c r="O53" s="309"/>
      <c r="P53" s="270" t="e">
        <f t="shared" si="6"/>
        <v>#DIV/0!</v>
      </c>
      <c r="Q53" t="e">
        <f t="shared" si="4"/>
        <v>#DIV/0!</v>
      </c>
    </row>
    <row r="54" spans="1:18" x14ac:dyDescent="0.25">
      <c r="A54" s="434"/>
      <c r="B54" s="306" t="s">
        <v>153</v>
      </c>
      <c r="C54" s="305"/>
      <c r="D54" s="307"/>
      <c r="E54" s="307">
        <f t="shared" si="2"/>
        <v>0</v>
      </c>
      <c r="F54" s="307" t="str">
        <f t="shared" si="0"/>
        <v>ok</v>
      </c>
      <c r="G54" s="307"/>
      <c r="H54" s="308"/>
      <c r="I54" s="308"/>
      <c r="J54" s="308"/>
      <c r="K54" s="308"/>
      <c r="L54" s="307"/>
      <c r="M54" s="305">
        <f t="shared" si="5"/>
        <v>0</v>
      </c>
      <c r="N54" s="305" t="str">
        <f t="shared" si="1"/>
        <v>ok</v>
      </c>
      <c r="O54" s="309"/>
      <c r="P54" s="270" t="e">
        <f t="shared" si="6"/>
        <v>#DIV/0!</v>
      </c>
      <c r="Q54" t="e">
        <f t="shared" si="4"/>
        <v>#DIV/0!</v>
      </c>
    </row>
    <row r="55" spans="1:18" x14ac:dyDescent="0.25">
      <c r="A55" s="434"/>
      <c r="B55" s="306" t="s">
        <v>154</v>
      </c>
      <c r="C55" s="305"/>
      <c r="D55" s="307"/>
      <c r="E55" s="307">
        <f t="shared" si="2"/>
        <v>0</v>
      </c>
      <c r="F55" s="307" t="str">
        <f t="shared" si="0"/>
        <v>ok</v>
      </c>
      <c r="G55" s="307"/>
      <c r="H55" s="308"/>
      <c r="I55" s="308"/>
      <c r="J55" s="308"/>
      <c r="K55" s="308"/>
      <c r="L55" s="307"/>
      <c r="M55" s="305">
        <f t="shared" si="5"/>
        <v>0</v>
      </c>
      <c r="N55" s="305" t="str">
        <f t="shared" si="1"/>
        <v>ok</v>
      </c>
      <c r="O55" s="309"/>
      <c r="P55" s="270" t="e">
        <f t="shared" si="6"/>
        <v>#DIV/0!</v>
      </c>
      <c r="Q55" t="e">
        <f t="shared" si="4"/>
        <v>#DIV/0!</v>
      </c>
    </row>
    <row r="56" spans="1:18" x14ac:dyDescent="0.25">
      <c r="A56" s="434"/>
      <c r="B56" s="306" t="s">
        <v>155</v>
      </c>
      <c r="C56" s="305"/>
      <c r="D56" s="307"/>
      <c r="E56" s="307">
        <f t="shared" si="2"/>
        <v>0</v>
      </c>
      <c r="F56" s="307" t="str">
        <f t="shared" si="0"/>
        <v>ok</v>
      </c>
      <c r="G56" s="307"/>
      <c r="H56" s="308"/>
      <c r="I56" s="308"/>
      <c r="J56" s="308"/>
      <c r="K56" s="308"/>
      <c r="L56" s="307"/>
      <c r="M56" s="305">
        <f t="shared" si="5"/>
        <v>0</v>
      </c>
      <c r="N56" s="305" t="str">
        <f t="shared" si="1"/>
        <v>ok</v>
      </c>
      <c r="O56" s="309"/>
      <c r="P56" s="270" t="e">
        <f t="shared" si="6"/>
        <v>#DIV/0!</v>
      </c>
      <c r="Q56" t="e">
        <f t="shared" si="4"/>
        <v>#DIV/0!</v>
      </c>
    </row>
    <row r="57" spans="1:18" x14ac:dyDescent="0.25">
      <c r="A57" s="434"/>
      <c r="B57" s="306" t="s">
        <v>156</v>
      </c>
      <c r="C57" s="305"/>
      <c r="D57" s="307"/>
      <c r="E57" s="307">
        <f t="shared" si="2"/>
        <v>0</v>
      </c>
      <c r="F57" s="307" t="str">
        <f t="shared" si="0"/>
        <v>ok</v>
      </c>
      <c r="G57" s="307"/>
      <c r="H57" s="308"/>
      <c r="I57" s="308"/>
      <c r="J57" s="308"/>
      <c r="K57" s="308"/>
      <c r="L57" s="307"/>
      <c r="M57" s="305">
        <f t="shared" si="5"/>
        <v>0</v>
      </c>
      <c r="N57" s="305" t="str">
        <f t="shared" si="1"/>
        <v>ok</v>
      </c>
      <c r="O57" s="309"/>
      <c r="P57" s="270" t="e">
        <f t="shared" si="6"/>
        <v>#DIV/0!</v>
      </c>
      <c r="Q57" t="e">
        <f t="shared" si="4"/>
        <v>#DIV/0!</v>
      </c>
    </row>
    <row r="58" spans="1:18" x14ac:dyDescent="0.25">
      <c r="A58" s="434"/>
      <c r="B58" s="306" t="s">
        <v>157</v>
      </c>
      <c r="C58" s="305"/>
      <c r="D58" s="307"/>
      <c r="E58" s="307">
        <f t="shared" si="2"/>
        <v>0</v>
      </c>
      <c r="F58" s="307" t="str">
        <f t="shared" si="0"/>
        <v>ok</v>
      </c>
      <c r="G58" s="307"/>
      <c r="H58" s="308"/>
      <c r="I58" s="308"/>
      <c r="J58" s="308"/>
      <c r="K58" s="308"/>
      <c r="L58" s="307"/>
      <c r="M58" s="305">
        <f t="shared" si="5"/>
        <v>0</v>
      </c>
      <c r="N58" s="305" t="str">
        <f t="shared" si="1"/>
        <v>ok</v>
      </c>
      <c r="O58" s="309"/>
      <c r="P58" s="270" t="e">
        <f t="shared" si="6"/>
        <v>#DIV/0!</v>
      </c>
      <c r="Q58" t="e">
        <f t="shared" si="4"/>
        <v>#DIV/0!</v>
      </c>
    </row>
    <row r="59" spans="1:18" x14ac:dyDescent="0.25">
      <c r="A59" s="434"/>
      <c r="B59" s="306" t="s">
        <v>158</v>
      </c>
      <c r="C59" s="305"/>
      <c r="D59" s="307"/>
      <c r="E59" s="307">
        <f t="shared" si="2"/>
        <v>0</v>
      </c>
      <c r="F59" s="307" t="str">
        <f t="shared" si="0"/>
        <v>ok</v>
      </c>
      <c r="G59" s="307"/>
      <c r="H59" s="308"/>
      <c r="I59" s="308"/>
      <c r="J59" s="308"/>
      <c r="K59" s="308"/>
      <c r="L59" s="307"/>
      <c r="M59" s="305">
        <f t="shared" si="5"/>
        <v>0</v>
      </c>
      <c r="N59" s="305" t="str">
        <f t="shared" si="1"/>
        <v>ok</v>
      </c>
      <c r="O59" s="309"/>
      <c r="P59" s="270" t="e">
        <f t="shared" si="6"/>
        <v>#DIV/0!</v>
      </c>
      <c r="Q59" t="e">
        <f t="shared" si="4"/>
        <v>#DIV/0!</v>
      </c>
    </row>
    <row r="60" spans="1:18" x14ac:dyDescent="0.25">
      <c r="A60" s="434"/>
      <c r="B60" s="306" t="s">
        <v>159</v>
      </c>
      <c r="C60" s="305"/>
      <c r="D60" s="307"/>
      <c r="E60" s="307">
        <f t="shared" si="2"/>
        <v>0</v>
      </c>
      <c r="F60" s="307" t="str">
        <f t="shared" si="0"/>
        <v>ok</v>
      </c>
      <c r="G60" s="307"/>
      <c r="H60" s="308"/>
      <c r="I60" s="308"/>
      <c r="J60" s="308"/>
      <c r="K60" s="308"/>
      <c r="L60" s="307"/>
      <c r="M60" s="305">
        <f t="shared" si="5"/>
        <v>0</v>
      </c>
      <c r="N60" s="305" t="str">
        <f t="shared" si="1"/>
        <v>ok</v>
      </c>
      <c r="O60" s="309"/>
      <c r="P60" s="270" t="e">
        <f t="shared" si="6"/>
        <v>#DIV/0!</v>
      </c>
      <c r="Q60" t="e">
        <f t="shared" si="4"/>
        <v>#DIV/0!</v>
      </c>
    </row>
    <row r="61" spans="1:18" x14ac:dyDescent="0.25">
      <c r="A61" s="434"/>
      <c r="B61" s="306" t="s">
        <v>160</v>
      </c>
      <c r="C61" s="305"/>
      <c r="D61" s="307"/>
      <c r="E61" s="307">
        <f t="shared" si="2"/>
        <v>0</v>
      </c>
      <c r="F61" s="307" t="str">
        <f t="shared" si="0"/>
        <v>ok</v>
      </c>
      <c r="G61" s="307"/>
      <c r="H61" s="308"/>
      <c r="I61" s="308"/>
      <c r="J61" s="308"/>
      <c r="K61" s="308"/>
      <c r="L61" s="307"/>
      <c r="M61" s="305">
        <f t="shared" si="5"/>
        <v>0</v>
      </c>
      <c r="N61" s="305" t="str">
        <f t="shared" si="1"/>
        <v>ok</v>
      </c>
      <c r="O61" s="309"/>
      <c r="P61" s="270" t="e">
        <f t="shared" si="6"/>
        <v>#DIV/0!</v>
      </c>
      <c r="Q61" t="e">
        <f t="shared" si="4"/>
        <v>#DIV/0!</v>
      </c>
    </row>
    <row r="62" spans="1:18" x14ac:dyDescent="0.25">
      <c r="A62" s="434"/>
      <c r="B62" s="306" t="s">
        <v>161</v>
      </c>
      <c r="C62" s="305"/>
      <c r="D62" s="307"/>
      <c r="E62" s="307">
        <f t="shared" si="2"/>
        <v>0</v>
      </c>
      <c r="F62" s="307" t="str">
        <f t="shared" si="0"/>
        <v>ok</v>
      </c>
      <c r="G62" s="307"/>
      <c r="H62" s="308"/>
      <c r="I62" s="308"/>
      <c r="J62" s="308"/>
      <c r="K62" s="308"/>
      <c r="L62" s="307"/>
      <c r="M62" s="305">
        <f t="shared" si="5"/>
        <v>0</v>
      </c>
      <c r="N62" s="305" t="str">
        <f t="shared" si="1"/>
        <v>ok</v>
      </c>
      <c r="O62" s="309"/>
      <c r="P62" s="270" t="e">
        <f t="shared" si="6"/>
        <v>#DIV/0!</v>
      </c>
      <c r="Q62" t="e">
        <f t="shared" si="4"/>
        <v>#DIV/0!</v>
      </c>
      <c r="R62" s="276"/>
    </row>
    <row r="63" spans="1:18" x14ac:dyDescent="0.25">
      <c r="A63" s="434"/>
      <c r="B63" s="306" t="s">
        <v>162</v>
      </c>
      <c r="C63" s="305"/>
      <c r="D63" s="307"/>
      <c r="E63" s="307">
        <f t="shared" si="2"/>
        <v>0</v>
      </c>
      <c r="F63" s="307" t="str">
        <f t="shared" si="0"/>
        <v>ok</v>
      </c>
      <c r="G63" s="307"/>
      <c r="H63" s="308"/>
      <c r="I63" s="308"/>
      <c r="J63" s="308"/>
      <c r="K63" s="308"/>
      <c r="L63" s="307"/>
      <c r="M63" s="305">
        <f t="shared" si="5"/>
        <v>0</v>
      </c>
      <c r="N63" s="305" t="str">
        <f t="shared" si="1"/>
        <v>ok</v>
      </c>
      <c r="O63" s="309"/>
      <c r="P63" s="270" t="e">
        <f t="shared" si="6"/>
        <v>#DIV/0!</v>
      </c>
      <c r="Q63" t="e">
        <f t="shared" si="4"/>
        <v>#DIV/0!</v>
      </c>
    </row>
    <row r="64" spans="1:18" x14ac:dyDescent="0.25">
      <c r="A64" s="434"/>
      <c r="B64" s="306" t="s">
        <v>163</v>
      </c>
      <c r="C64" s="305"/>
      <c r="D64" s="307"/>
      <c r="E64" s="307">
        <f t="shared" si="2"/>
        <v>0</v>
      </c>
      <c r="F64" s="307" t="str">
        <f t="shared" si="0"/>
        <v>ok</v>
      </c>
      <c r="G64" s="307"/>
      <c r="H64" s="308"/>
      <c r="I64" s="308"/>
      <c r="J64" s="308"/>
      <c r="K64" s="308"/>
      <c r="L64" s="307"/>
      <c r="M64" s="305">
        <f t="shared" si="5"/>
        <v>0</v>
      </c>
      <c r="N64" s="305" t="str">
        <f t="shared" si="1"/>
        <v>ok</v>
      </c>
      <c r="O64" s="309"/>
      <c r="P64" s="270" t="e">
        <f t="shared" si="6"/>
        <v>#DIV/0!</v>
      </c>
      <c r="Q64" t="e">
        <f t="shared" si="4"/>
        <v>#DIV/0!</v>
      </c>
    </row>
    <row r="65" spans="1:17" x14ac:dyDescent="0.25">
      <c r="A65" s="434"/>
      <c r="B65" s="306" t="s">
        <v>164</v>
      </c>
      <c r="C65" s="305"/>
      <c r="D65" s="307"/>
      <c r="E65" s="307">
        <f t="shared" si="2"/>
        <v>0</v>
      </c>
      <c r="F65" s="307" t="str">
        <f t="shared" si="0"/>
        <v>ok</v>
      </c>
      <c r="G65" s="307"/>
      <c r="H65" s="308"/>
      <c r="I65" s="308"/>
      <c r="J65" s="308"/>
      <c r="K65" s="308"/>
      <c r="L65" s="307"/>
      <c r="M65" s="305">
        <f t="shared" si="5"/>
        <v>0</v>
      </c>
      <c r="N65" s="305" t="str">
        <f t="shared" si="1"/>
        <v>ok</v>
      </c>
      <c r="O65" s="309"/>
      <c r="P65" s="270" t="e">
        <f t="shared" si="6"/>
        <v>#DIV/0!</v>
      </c>
      <c r="Q65" t="e">
        <f t="shared" si="4"/>
        <v>#DIV/0!</v>
      </c>
    </row>
    <row r="66" spans="1:17" x14ac:dyDescent="0.25">
      <c r="A66" s="434"/>
      <c r="B66" s="306" t="s">
        <v>165</v>
      </c>
      <c r="C66" s="305"/>
      <c r="D66" s="307"/>
      <c r="E66" s="307">
        <f t="shared" si="2"/>
        <v>0</v>
      </c>
      <c r="F66" s="307" t="str">
        <f t="shared" ref="F66:F67" si="7">IF(E66=C66,"ok","pas bon")</f>
        <v>ok</v>
      </c>
      <c r="G66" s="307"/>
      <c r="H66" s="308"/>
      <c r="I66" s="308"/>
      <c r="J66" s="308"/>
      <c r="K66" s="308"/>
      <c r="L66" s="307"/>
      <c r="M66" s="305">
        <f t="shared" si="5"/>
        <v>0</v>
      </c>
      <c r="N66" s="305" t="str">
        <f t="shared" ref="N66:N67" si="8">IF(M66=L66,"ok", "pas bon")</f>
        <v>ok</v>
      </c>
      <c r="O66" s="309"/>
      <c r="P66" s="270" t="e">
        <f t="shared" si="6"/>
        <v>#DIV/0!</v>
      </c>
      <c r="Q66" t="e">
        <f t="shared" si="4"/>
        <v>#DIV/0!</v>
      </c>
    </row>
    <row r="67" spans="1:17" x14ac:dyDescent="0.25">
      <c r="A67" s="434"/>
      <c r="B67" s="306" t="s">
        <v>166</v>
      </c>
      <c r="C67" s="305"/>
      <c r="D67" s="307"/>
      <c r="E67" s="307">
        <f t="shared" ref="E67" si="9">D67+H67+I67+J67+K67</f>
        <v>0</v>
      </c>
      <c r="F67" s="307" t="str">
        <f t="shared" si="7"/>
        <v>ok</v>
      </c>
      <c r="G67" s="307"/>
      <c r="H67" s="308"/>
      <c r="I67" s="308"/>
      <c r="J67" s="308"/>
      <c r="K67" s="308"/>
      <c r="L67" s="307"/>
      <c r="M67" s="305">
        <f t="shared" si="5"/>
        <v>0</v>
      </c>
      <c r="N67" s="305" t="str">
        <f t="shared" si="8"/>
        <v>ok</v>
      </c>
      <c r="O67" s="309"/>
      <c r="P67" s="270" t="e">
        <f t="shared" si="6"/>
        <v>#DIV/0!</v>
      </c>
      <c r="Q67" t="e">
        <f t="shared" ref="Q67" si="10">IF(O67=P67,"ok","pas bon")</f>
        <v>#DIV/0!</v>
      </c>
    </row>
    <row r="68" spans="1:17" x14ac:dyDescent="0.25">
      <c r="O68" s="39" t="e">
        <f>AVERAGE(O52:O67)</f>
        <v>#DIV/0!</v>
      </c>
    </row>
    <row r="69" spans="1:17" s="310" customFormat="1" ht="45" customHeight="1" x14ac:dyDescent="0.25">
      <c r="A69" s="435" t="s">
        <v>174</v>
      </c>
      <c r="B69" s="435" t="s">
        <v>175</v>
      </c>
      <c r="C69" s="435" t="s">
        <v>176</v>
      </c>
      <c r="D69" s="435" t="s">
        <v>177</v>
      </c>
      <c r="E69" s="435" t="s">
        <v>178</v>
      </c>
      <c r="F69" s="435"/>
      <c r="G69" s="435"/>
      <c r="H69" s="435"/>
      <c r="I69" s="435" t="s">
        <v>179</v>
      </c>
      <c r="J69" s="435" t="s">
        <v>180</v>
      </c>
      <c r="K69" s="435" t="s">
        <v>181</v>
      </c>
    </row>
    <row r="70" spans="1:17" s="310" customFormat="1" ht="51" x14ac:dyDescent="0.25">
      <c r="A70" s="435"/>
      <c r="B70" s="435"/>
      <c r="C70" s="435"/>
      <c r="D70" s="435"/>
      <c r="E70" s="311" t="s">
        <v>182</v>
      </c>
      <c r="F70" s="311" t="s">
        <v>183</v>
      </c>
      <c r="G70" s="311" t="s">
        <v>184</v>
      </c>
      <c r="H70" s="311" t="s">
        <v>185</v>
      </c>
      <c r="I70" s="435"/>
      <c r="J70" s="435"/>
      <c r="K70" s="435"/>
      <c r="L70" s="312" t="s">
        <v>186</v>
      </c>
      <c r="M70" s="312" t="s">
        <v>187</v>
      </c>
    </row>
    <row r="71" spans="1:17" s="316" customFormat="1" x14ac:dyDescent="0.25">
      <c r="A71" s="436" t="s">
        <v>188</v>
      </c>
      <c r="B71" s="33" t="str">
        <f>B36</f>
        <v>ISS PB BAN</v>
      </c>
      <c r="C71" s="313">
        <f>C36</f>
        <v>126.6</v>
      </c>
      <c r="D71" s="313">
        <f>D36</f>
        <v>125.145</v>
      </c>
      <c r="E71" s="313">
        <f>I36</f>
        <v>0.06</v>
      </c>
      <c r="F71" s="313">
        <f>H36</f>
        <v>0</v>
      </c>
      <c r="G71" s="313">
        <f>J36</f>
        <v>3.5000000000000003E-2</v>
      </c>
      <c r="H71" s="313">
        <f>K36</f>
        <v>1.36</v>
      </c>
      <c r="I71" s="313">
        <f>G36</f>
        <v>82.54</v>
      </c>
      <c r="J71" s="313">
        <f>L36</f>
        <v>83.935000000000002</v>
      </c>
      <c r="K71" s="314">
        <f>((C71-J71)/C71)</f>
        <v>0.3370063191153238</v>
      </c>
      <c r="L71" s="315" t="str">
        <f>IF(ROUND(K71,1)=ROUND(M71,1),"ok","pas bon")</f>
        <v>ok</v>
      </c>
      <c r="M71" s="232">
        <f>O36</f>
        <v>0.33700999999999998</v>
      </c>
    </row>
    <row r="72" spans="1:17" s="316" customFormat="1" x14ac:dyDescent="0.25">
      <c r="A72" s="436"/>
      <c r="B72" s="33" t="str">
        <f>B53</f>
        <v>ISS PC BAN</v>
      </c>
      <c r="C72" s="313">
        <f t="shared" ref="C72:D74" si="11">C37</f>
        <v>128.19999999999999</v>
      </c>
      <c r="D72" s="313">
        <f t="shared" si="11"/>
        <v>127.964</v>
      </c>
      <c r="E72" s="313">
        <f t="shared" ref="E72:E74" si="12">I37</f>
        <v>0</v>
      </c>
      <c r="F72" s="313">
        <f t="shared" ref="F72:F74" si="13">H37</f>
        <v>0</v>
      </c>
      <c r="G72" s="313">
        <f t="shared" ref="G72:H74" si="14">J37</f>
        <v>0.23599999999999999</v>
      </c>
      <c r="H72" s="313">
        <f t="shared" si="14"/>
        <v>0</v>
      </c>
      <c r="I72" s="313">
        <f t="shared" ref="I72:I74" si="15">G37</f>
        <v>80.42</v>
      </c>
      <c r="J72" s="313">
        <f t="shared" ref="J72:J74" si="16">L37</f>
        <v>80.656000000000006</v>
      </c>
      <c r="K72" s="314">
        <f t="shared" ref="K72:K91" si="17">((C72-J72)/C72)</f>
        <v>0.37085803432137276</v>
      </c>
      <c r="L72" s="315" t="str">
        <f t="shared" ref="L72:L74" si="18">IF(ROUND(K72,1)=ROUND(M72,1),"ok","pas bon")</f>
        <v>ok</v>
      </c>
      <c r="M72" s="232">
        <f t="shared" ref="M72:M74" si="19">O37</f>
        <v>0.371</v>
      </c>
    </row>
    <row r="73" spans="1:17" s="316" customFormat="1" x14ac:dyDescent="0.25">
      <c r="A73" s="436"/>
      <c r="B73" s="33" t="str">
        <f>B54</f>
        <v>ISS  PB PAR</v>
      </c>
      <c r="C73" s="313">
        <f t="shared" si="11"/>
        <v>126.8</v>
      </c>
      <c r="D73" s="313">
        <f t="shared" si="11"/>
        <v>126.8</v>
      </c>
      <c r="E73" s="313">
        <f t="shared" si="12"/>
        <v>0</v>
      </c>
      <c r="F73" s="313">
        <f t="shared" si="13"/>
        <v>0</v>
      </c>
      <c r="G73" s="313">
        <f t="shared" si="14"/>
        <v>0</v>
      </c>
      <c r="H73" s="313">
        <f t="shared" si="14"/>
        <v>0</v>
      </c>
      <c r="I73" s="313">
        <f t="shared" si="15"/>
        <v>80.22</v>
      </c>
      <c r="J73" s="313">
        <f t="shared" si="16"/>
        <v>80.22</v>
      </c>
      <c r="K73" s="314">
        <f>((C73-J73)/C73)</f>
        <v>0.36735015772870661</v>
      </c>
      <c r="L73" s="315" t="str">
        <f>IF(ROUND(K73,1)=ROUND(M73,1),"ok","pas bon")</f>
        <v>ok</v>
      </c>
      <c r="M73" s="232">
        <f t="shared" si="19"/>
        <v>0.36699999999999999</v>
      </c>
    </row>
    <row r="74" spans="1:17" s="316" customFormat="1" x14ac:dyDescent="0.25">
      <c r="A74" s="436"/>
      <c r="B74" s="33" t="str">
        <f>B55</f>
        <v>ISS  PC PAR</v>
      </c>
      <c r="C74" s="313">
        <f t="shared" si="11"/>
        <v>126.4</v>
      </c>
      <c r="D74" s="313">
        <f t="shared" si="11"/>
        <v>126.4</v>
      </c>
      <c r="E74" s="313">
        <f t="shared" si="12"/>
        <v>0</v>
      </c>
      <c r="F74" s="313">
        <f t="shared" si="13"/>
        <v>0</v>
      </c>
      <c r="G74" s="313">
        <f t="shared" si="14"/>
        <v>0</v>
      </c>
      <c r="H74" s="313">
        <f t="shared" si="14"/>
        <v>0</v>
      </c>
      <c r="I74" s="313">
        <f t="shared" si="15"/>
        <v>76.92</v>
      </c>
      <c r="J74" s="313">
        <f t="shared" si="16"/>
        <v>76.92</v>
      </c>
      <c r="K74" s="314">
        <f t="shared" si="17"/>
        <v>0.39145569620253168</v>
      </c>
      <c r="L74" s="315" t="str">
        <f t="shared" si="18"/>
        <v>ok</v>
      </c>
      <c r="M74" s="232">
        <f t="shared" si="19"/>
        <v>0.39100000000000001</v>
      </c>
    </row>
    <row r="75" spans="1:17" s="316" customFormat="1" ht="12.75" x14ac:dyDescent="0.2">
      <c r="A75" s="436"/>
      <c r="B75" s="191" t="s">
        <v>189</v>
      </c>
      <c r="C75" s="317">
        <f>AVERAGE(C71:C74)</f>
        <v>127</v>
      </c>
      <c r="D75" s="317">
        <f t="shared" ref="D75:J75" si="20">AVERAGE(D71:D74)</f>
        <v>126.57724999999999</v>
      </c>
      <c r="E75" s="317">
        <f t="shared" si="20"/>
        <v>1.4999999999999999E-2</v>
      </c>
      <c r="F75" s="317">
        <f t="shared" si="20"/>
        <v>0</v>
      </c>
      <c r="G75" s="317">
        <f t="shared" si="20"/>
        <v>6.7750000000000005E-2</v>
      </c>
      <c r="H75" s="317">
        <f t="shared" si="20"/>
        <v>0.34</v>
      </c>
      <c r="I75" s="317">
        <f t="shared" si="20"/>
        <v>80.025000000000006</v>
      </c>
      <c r="J75" s="317">
        <f t="shared" si="20"/>
        <v>80.432749999999999</v>
      </c>
      <c r="K75" s="318">
        <f t="shared" si="17"/>
        <v>0.36667125984251969</v>
      </c>
      <c r="M75" s="315"/>
    </row>
    <row r="76" spans="1:17" s="316" customFormat="1" x14ac:dyDescent="0.25">
      <c r="A76" s="436" t="s">
        <v>190</v>
      </c>
      <c r="B76" s="33" t="str">
        <f>B40</f>
        <v>IVR  PB BAN</v>
      </c>
      <c r="C76" s="313">
        <f>C40</f>
        <v>125.65</v>
      </c>
      <c r="D76" s="313">
        <f>D40</f>
        <v>125.36</v>
      </c>
      <c r="E76" s="313">
        <f>I40</f>
        <v>0.21700000000000003</v>
      </c>
      <c r="F76" s="313">
        <f>H40</f>
        <v>0</v>
      </c>
      <c r="G76" s="313">
        <f>J40</f>
        <v>7.2999999999999995E-2</v>
      </c>
      <c r="H76" s="313">
        <f>K40</f>
        <v>0</v>
      </c>
      <c r="I76" s="313">
        <f>G40</f>
        <v>81.239999999999995</v>
      </c>
      <c r="J76" s="313">
        <f>L40</f>
        <v>81.312999999999988</v>
      </c>
      <c r="K76" s="314">
        <f t="shared" si="17"/>
        <v>0.35286112216474347</v>
      </c>
      <c r="L76" s="315" t="str">
        <f>IF(ROUND(K76,1)=ROUND(M76,1),"ok","pas bon")</f>
        <v>ok</v>
      </c>
      <c r="M76" s="232">
        <f>O40</f>
        <v>0.35299999999999998</v>
      </c>
    </row>
    <row r="77" spans="1:17" s="316" customFormat="1" x14ac:dyDescent="0.25">
      <c r="A77" s="436"/>
      <c r="B77" s="33" t="str">
        <f t="shared" ref="B77:D79" si="21">B41</f>
        <v>IVR PC BAN</v>
      </c>
      <c r="C77" s="313">
        <f t="shared" si="21"/>
        <v>127.36</v>
      </c>
      <c r="D77" s="313">
        <f t="shared" si="21"/>
        <v>124.887</v>
      </c>
      <c r="E77" s="313">
        <f t="shared" ref="E77:E79" si="22">I41</f>
        <v>0.53399999999999992</v>
      </c>
      <c r="F77" s="313">
        <f t="shared" ref="F77:F79" si="23">H41</f>
        <v>0.95899999999999996</v>
      </c>
      <c r="G77" s="313">
        <f t="shared" ref="G77:H79" si="24">J41</f>
        <v>0</v>
      </c>
      <c r="H77" s="313">
        <f t="shared" si="24"/>
        <v>0.98</v>
      </c>
      <c r="I77" s="313">
        <f t="shared" ref="I77:I79" si="25">G41</f>
        <v>78.44</v>
      </c>
      <c r="J77" s="313">
        <f t="shared" ref="J77:J79" si="26">L41</f>
        <v>80.379000000000005</v>
      </c>
      <c r="K77" s="314">
        <f t="shared" si="17"/>
        <v>0.36888347989949744</v>
      </c>
      <c r="L77" s="315" t="str">
        <f t="shared" ref="L77:L79" si="27">IF(ROUND(K77,1)=ROUND(M77,1),"ok","pas bon")</f>
        <v>ok</v>
      </c>
      <c r="M77" s="232">
        <f>O41</f>
        <v>0.36899999999999999</v>
      </c>
    </row>
    <row r="78" spans="1:17" s="316" customFormat="1" x14ac:dyDescent="0.25">
      <c r="A78" s="436"/>
      <c r="B78" s="33" t="str">
        <f t="shared" si="21"/>
        <v>IVR  PB PAR</v>
      </c>
      <c r="C78" s="313">
        <f t="shared" si="21"/>
        <v>126.08</v>
      </c>
      <c r="D78" s="313">
        <f t="shared" si="21"/>
        <v>126.08</v>
      </c>
      <c r="E78" s="313">
        <f t="shared" si="22"/>
        <v>0</v>
      </c>
      <c r="F78" s="313">
        <f t="shared" si="23"/>
        <v>0</v>
      </c>
      <c r="G78" s="313">
        <f t="shared" si="24"/>
        <v>0</v>
      </c>
      <c r="H78" s="313">
        <f t="shared" si="24"/>
        <v>0</v>
      </c>
      <c r="I78" s="313">
        <f t="shared" si="25"/>
        <v>76.44</v>
      </c>
      <c r="J78" s="313">
        <f t="shared" si="26"/>
        <v>76.44</v>
      </c>
      <c r="K78" s="314">
        <f t="shared" si="17"/>
        <v>0.39371827411167515</v>
      </c>
      <c r="L78" s="315" t="str">
        <f>IF(ROUND(K78,1)=ROUND(M78,1),"ok","pas bon")</f>
        <v>ok</v>
      </c>
      <c r="M78" s="232">
        <f>O42</f>
        <v>0.39400000000000002</v>
      </c>
    </row>
    <row r="79" spans="1:17" s="316" customFormat="1" x14ac:dyDescent="0.25">
      <c r="A79" s="436"/>
      <c r="B79" s="33" t="str">
        <f t="shared" si="21"/>
        <v>IVR  PC PAR</v>
      </c>
      <c r="C79" s="313">
        <f t="shared" si="21"/>
        <v>129.02000000000001</v>
      </c>
      <c r="D79" s="313">
        <f t="shared" si="21"/>
        <v>128.78299999999999</v>
      </c>
      <c r="E79" s="313">
        <f t="shared" si="22"/>
        <v>0.23700000000000002</v>
      </c>
      <c r="F79" s="313">
        <f t="shared" si="23"/>
        <v>0</v>
      </c>
      <c r="G79" s="313">
        <f t="shared" si="24"/>
        <v>0</v>
      </c>
      <c r="H79" s="313">
        <f t="shared" si="24"/>
        <v>0</v>
      </c>
      <c r="I79" s="313">
        <f t="shared" si="25"/>
        <v>67.88</v>
      </c>
      <c r="J79" s="313">
        <f t="shared" si="26"/>
        <v>67.88</v>
      </c>
      <c r="K79" s="314">
        <f t="shared" si="17"/>
        <v>0.47388001860176726</v>
      </c>
      <c r="L79" s="315" t="str">
        <f t="shared" si="27"/>
        <v>ok</v>
      </c>
      <c r="M79" s="232">
        <f>O43</f>
        <v>0.47399999999999998</v>
      </c>
    </row>
    <row r="80" spans="1:17" s="316" customFormat="1" ht="12.75" x14ac:dyDescent="0.2">
      <c r="A80" s="436"/>
      <c r="B80" s="191" t="s">
        <v>189</v>
      </c>
      <c r="C80" s="317">
        <f>AVERAGE(C76:C79)</f>
        <v>127.0275</v>
      </c>
      <c r="D80" s="317">
        <f t="shared" ref="D80:J80" si="28">AVERAGE(D76:D79)</f>
        <v>126.2775</v>
      </c>
      <c r="E80" s="317">
        <f t="shared" si="28"/>
        <v>0.24699999999999997</v>
      </c>
      <c r="F80" s="317">
        <f t="shared" si="28"/>
        <v>0.23974999999999999</v>
      </c>
      <c r="G80" s="317">
        <f t="shared" si="28"/>
        <v>1.8249999999999999E-2</v>
      </c>
      <c r="H80" s="317">
        <f t="shared" si="28"/>
        <v>0.245</v>
      </c>
      <c r="I80" s="317">
        <f t="shared" si="28"/>
        <v>76</v>
      </c>
      <c r="J80" s="317">
        <f t="shared" si="28"/>
        <v>76.503</v>
      </c>
      <c r="K80" s="318">
        <f t="shared" si="17"/>
        <v>0.39774458286591485</v>
      </c>
      <c r="M80" s="315"/>
    </row>
    <row r="81" spans="1:13" s="316" customFormat="1" ht="15" customHeight="1" x14ac:dyDescent="0.25">
      <c r="A81" s="436" t="s">
        <v>191</v>
      </c>
      <c r="B81" s="33" t="str">
        <f>B44</f>
        <v>ROM  PB BAN</v>
      </c>
      <c r="C81" s="313">
        <f>C44</f>
        <v>128.6</v>
      </c>
      <c r="D81" s="313">
        <f>D44</f>
        <v>128.6</v>
      </c>
      <c r="E81" s="313">
        <f>I44</f>
        <v>0</v>
      </c>
      <c r="F81" s="313">
        <f>H44</f>
        <v>0</v>
      </c>
      <c r="G81" s="313">
        <f>J44</f>
        <v>0</v>
      </c>
      <c r="H81" s="313">
        <f>K44</f>
        <v>0</v>
      </c>
      <c r="I81" s="313">
        <f>G44</f>
        <v>69.599999999999994</v>
      </c>
      <c r="J81" s="313">
        <f>L44</f>
        <v>69.599999999999994</v>
      </c>
      <c r="K81" s="314">
        <f t="shared" si="17"/>
        <v>0.45878693623639194</v>
      </c>
      <c r="L81" s="315" t="str">
        <f>IF(ROUND(K81,1)=ROUND(M81,1),"ok","pas bon")</f>
        <v>ok</v>
      </c>
      <c r="M81" s="232">
        <f>O44</f>
        <v>0.45900000000000002</v>
      </c>
    </row>
    <row r="82" spans="1:13" s="316" customFormat="1" x14ac:dyDescent="0.25">
      <c r="A82" s="436"/>
      <c r="B82" s="33" t="str">
        <f t="shared" ref="B82:D84" si="29">B45</f>
        <v>ROM PC BAN</v>
      </c>
      <c r="C82" s="313">
        <f t="shared" si="29"/>
        <v>130.1</v>
      </c>
      <c r="D82" s="313">
        <f t="shared" si="29"/>
        <v>127.96</v>
      </c>
      <c r="E82" s="313">
        <f t="shared" ref="E82:E84" si="30">I45</f>
        <v>2.1399999999999997</v>
      </c>
      <c r="F82" s="313">
        <f t="shared" ref="F82:F84" si="31">H45</f>
        <v>0</v>
      </c>
      <c r="G82" s="313">
        <f t="shared" ref="G82:H84" si="32">J45</f>
        <v>0</v>
      </c>
      <c r="H82" s="313">
        <f t="shared" si="32"/>
        <v>0</v>
      </c>
      <c r="I82" s="313">
        <f t="shared" ref="I82:I84" si="33">G45</f>
        <v>76.959999999999994</v>
      </c>
      <c r="J82" s="313">
        <f t="shared" ref="J82:J84" si="34">L45</f>
        <v>76.959999999999994</v>
      </c>
      <c r="K82" s="314">
        <f t="shared" si="17"/>
        <v>0.40845503458877791</v>
      </c>
      <c r="L82" s="315" t="str">
        <f t="shared" ref="L82:L84" si="35">IF(ROUND(K82,1)=ROUND(M82,1),"ok","pas bon")</f>
        <v>ok</v>
      </c>
      <c r="M82" s="232">
        <f>O45</f>
        <v>0.40799999999999997</v>
      </c>
    </row>
    <row r="83" spans="1:13" s="316" customFormat="1" x14ac:dyDescent="0.25">
      <c r="A83" s="436"/>
      <c r="B83" s="33" t="str">
        <f t="shared" si="29"/>
        <v>ROM  PB PAR</v>
      </c>
      <c r="C83" s="313">
        <f t="shared" si="29"/>
        <v>124.6</v>
      </c>
      <c r="D83" s="313">
        <f t="shared" si="29"/>
        <v>122.44799999999999</v>
      </c>
      <c r="E83" s="313">
        <f t="shared" si="30"/>
        <v>0.41300000000000003</v>
      </c>
      <c r="F83" s="313">
        <f t="shared" si="31"/>
        <v>0</v>
      </c>
      <c r="G83" s="313">
        <f t="shared" si="32"/>
        <v>7.9000000000000001E-2</v>
      </c>
      <c r="H83" s="313">
        <f t="shared" si="32"/>
        <v>1.66</v>
      </c>
      <c r="I83" s="313">
        <f t="shared" si="33"/>
        <v>81.16</v>
      </c>
      <c r="J83" s="313">
        <f t="shared" si="34"/>
        <v>82.898999999999987</v>
      </c>
      <c r="K83" s="314">
        <f t="shared" si="17"/>
        <v>0.33467897271268066</v>
      </c>
      <c r="L83" s="315" t="str">
        <f>IF(ROUND(K83,1)=ROUND(M83,1),"ok","pas bon")</f>
        <v>ok</v>
      </c>
      <c r="M83" s="232">
        <f>O46</f>
        <v>0.33500000000000002</v>
      </c>
    </row>
    <row r="84" spans="1:13" s="316" customFormat="1" x14ac:dyDescent="0.25">
      <c r="A84" s="436"/>
      <c r="B84" s="33" t="str">
        <f t="shared" si="29"/>
        <v>ROM  PC PAR</v>
      </c>
      <c r="C84" s="313">
        <f t="shared" si="29"/>
        <v>124.6</v>
      </c>
      <c r="D84" s="313">
        <f t="shared" si="29"/>
        <v>121.502</v>
      </c>
      <c r="E84" s="313">
        <f t="shared" si="30"/>
        <v>2.6380000000000003</v>
      </c>
      <c r="F84" s="313">
        <f t="shared" si="31"/>
        <v>0</v>
      </c>
      <c r="G84" s="313">
        <f t="shared" si="32"/>
        <v>0</v>
      </c>
      <c r="H84" s="313">
        <f t="shared" si="32"/>
        <v>0.46</v>
      </c>
      <c r="I84" s="313">
        <f t="shared" si="33"/>
        <v>75.900000000000006</v>
      </c>
      <c r="J84" s="313">
        <f t="shared" si="34"/>
        <v>76.36</v>
      </c>
      <c r="K84" s="314">
        <f t="shared" si="17"/>
        <v>0.38715890850722307</v>
      </c>
      <c r="L84" s="315" t="str">
        <f t="shared" si="35"/>
        <v>ok</v>
      </c>
      <c r="M84" s="232">
        <f>O47</f>
        <v>0.38700000000000001</v>
      </c>
    </row>
    <row r="85" spans="1:13" s="316" customFormat="1" ht="12.75" x14ac:dyDescent="0.2">
      <c r="A85" s="436"/>
      <c r="B85" s="191" t="s">
        <v>189</v>
      </c>
      <c r="C85" s="317">
        <f>AVERAGE(C81:C84)</f>
        <v>126.97499999999999</v>
      </c>
      <c r="D85" s="317">
        <f t="shared" ref="D85:J85" si="36">AVERAGE(D81:D84)</f>
        <v>125.1275</v>
      </c>
      <c r="E85" s="317">
        <f t="shared" si="36"/>
        <v>1.2977500000000002</v>
      </c>
      <c r="F85" s="317">
        <f t="shared" si="36"/>
        <v>0</v>
      </c>
      <c r="G85" s="317">
        <f t="shared" si="36"/>
        <v>1.975E-2</v>
      </c>
      <c r="H85" s="317">
        <f t="shared" si="36"/>
        <v>0.53</v>
      </c>
      <c r="I85" s="317">
        <f t="shared" si="36"/>
        <v>75.905000000000001</v>
      </c>
      <c r="J85" s="317">
        <f t="shared" si="36"/>
        <v>76.454750000000004</v>
      </c>
      <c r="K85" s="318">
        <f t="shared" si="17"/>
        <v>0.39787556605631025</v>
      </c>
      <c r="M85" s="315"/>
    </row>
    <row r="86" spans="1:13" s="316" customFormat="1" x14ac:dyDescent="0.25">
      <c r="A86" s="436" t="s">
        <v>192</v>
      </c>
      <c r="B86" s="33" t="str">
        <f>B48</f>
        <v>STO  PB BAN</v>
      </c>
      <c r="C86" s="313">
        <f>C48</f>
        <v>127</v>
      </c>
      <c r="D86" s="313">
        <f>D48</f>
        <v>127</v>
      </c>
      <c r="E86" s="313">
        <f>I48</f>
        <v>0</v>
      </c>
      <c r="F86" s="313">
        <f>H48</f>
        <v>0</v>
      </c>
      <c r="G86" s="313">
        <f>J48</f>
        <v>0</v>
      </c>
      <c r="H86" s="313">
        <f>K48</f>
        <v>0</v>
      </c>
      <c r="I86" s="313">
        <f>G48</f>
        <v>78.16</v>
      </c>
      <c r="J86" s="313">
        <f>L48</f>
        <v>78.16</v>
      </c>
      <c r="K86" s="314">
        <f t="shared" si="17"/>
        <v>0.38456692913385832</v>
      </c>
      <c r="L86" s="315" t="str">
        <f>IF(ROUND(K86,1)=ROUND(M86,1),"ok","pas bon")</f>
        <v>ok</v>
      </c>
      <c r="M86" s="232">
        <f>O48</f>
        <v>0.38500000000000001</v>
      </c>
    </row>
    <row r="87" spans="1:13" s="316" customFormat="1" x14ac:dyDescent="0.25">
      <c r="A87" s="436"/>
      <c r="B87" s="33" t="str">
        <f t="shared" ref="B87:D89" si="37">B49</f>
        <v>STO PC BAN</v>
      </c>
      <c r="C87" s="313">
        <f t="shared" si="37"/>
        <v>126.7</v>
      </c>
      <c r="D87" s="313">
        <f t="shared" si="37"/>
        <v>126.364</v>
      </c>
      <c r="E87" s="313">
        <f t="shared" ref="E87:E89" si="38">I49</f>
        <v>0.33599999999999997</v>
      </c>
      <c r="F87" s="313">
        <f t="shared" ref="F87:F89" si="39">H49</f>
        <v>0</v>
      </c>
      <c r="G87" s="313">
        <f t="shared" ref="G87:H89" si="40">J49</f>
        <v>0</v>
      </c>
      <c r="H87" s="313">
        <f t="shared" si="40"/>
        <v>0</v>
      </c>
      <c r="I87" s="313">
        <f t="shared" ref="I87:I89" si="41">G49</f>
        <v>91.06</v>
      </c>
      <c r="J87" s="313">
        <f t="shared" ref="J87:J89" si="42">L49</f>
        <v>91.06</v>
      </c>
      <c r="K87" s="314">
        <f t="shared" si="17"/>
        <v>0.2812943962115233</v>
      </c>
      <c r="L87" s="315" t="str">
        <f t="shared" ref="L87:L89" si="43">IF(ROUND(K87,1)=ROUND(M87,1),"ok","pas bon")</f>
        <v>ok</v>
      </c>
      <c r="M87" s="232">
        <f>O49</f>
        <v>0.28100000000000003</v>
      </c>
    </row>
    <row r="88" spans="1:13" s="316" customFormat="1" x14ac:dyDescent="0.25">
      <c r="A88" s="436"/>
      <c r="B88" s="33" t="str">
        <f t="shared" si="37"/>
        <v>STO  PB PAR</v>
      </c>
      <c r="C88" s="313">
        <f t="shared" si="37"/>
        <v>129.1</v>
      </c>
      <c r="D88" s="313">
        <f t="shared" si="37"/>
        <v>128.66300000000001</v>
      </c>
      <c r="E88" s="313">
        <f t="shared" si="38"/>
        <v>0.309</v>
      </c>
      <c r="F88" s="313">
        <f t="shared" si="39"/>
        <v>0</v>
      </c>
      <c r="G88" s="313">
        <f t="shared" si="40"/>
        <v>0.128</v>
      </c>
      <c r="H88" s="313">
        <f t="shared" si="40"/>
        <v>0</v>
      </c>
      <c r="I88" s="313">
        <f t="shared" si="41"/>
        <v>76.680000000000007</v>
      </c>
      <c r="J88" s="313">
        <f t="shared" si="42"/>
        <v>76.808000000000007</v>
      </c>
      <c r="K88" s="314">
        <f t="shared" si="17"/>
        <v>0.40505034856700223</v>
      </c>
      <c r="L88" s="315" t="str">
        <f>IF(ROUND(K88,1)=ROUND(M88,1),"ok","pas bon")</f>
        <v>ok</v>
      </c>
      <c r="M88" s="232">
        <f>O50</f>
        <v>0.40500000000000003</v>
      </c>
    </row>
    <row r="89" spans="1:13" s="316" customFormat="1" x14ac:dyDescent="0.25">
      <c r="A89" s="436"/>
      <c r="B89" s="33" t="str">
        <f t="shared" si="37"/>
        <v>STO  PC PAR</v>
      </c>
      <c r="C89" s="313">
        <f t="shared" si="37"/>
        <v>129.4</v>
      </c>
      <c r="D89" s="313">
        <f t="shared" si="37"/>
        <v>128.999</v>
      </c>
      <c r="E89" s="313">
        <f t="shared" si="38"/>
        <v>0.40099999999999997</v>
      </c>
      <c r="F89" s="313">
        <f t="shared" si="39"/>
        <v>0</v>
      </c>
      <c r="G89" s="313">
        <f t="shared" si="40"/>
        <v>0</v>
      </c>
      <c r="H89" s="313">
        <f t="shared" si="40"/>
        <v>0</v>
      </c>
      <c r="I89" s="313">
        <f t="shared" si="41"/>
        <v>76.239999999999995</v>
      </c>
      <c r="J89" s="313">
        <f t="shared" si="42"/>
        <v>76.239999999999995</v>
      </c>
      <c r="K89" s="314">
        <f t="shared" si="17"/>
        <v>0.41081916537867086</v>
      </c>
      <c r="L89" s="315" t="str">
        <f t="shared" si="43"/>
        <v>ok</v>
      </c>
      <c r="M89" s="232">
        <f>O51</f>
        <v>0.41099999999999998</v>
      </c>
    </row>
    <row r="90" spans="1:13" x14ac:dyDescent="0.25">
      <c r="A90" s="436"/>
      <c r="B90" s="191" t="s">
        <v>189</v>
      </c>
      <c r="C90" s="317">
        <f>AVERAGE(C86:C89)</f>
        <v>128.04999999999998</v>
      </c>
      <c r="D90" s="317">
        <f t="shared" ref="D90:J90" si="44">AVERAGE(D86:D89)</f>
        <v>127.75650000000002</v>
      </c>
      <c r="E90" s="317">
        <f t="shared" si="44"/>
        <v>0.26150000000000001</v>
      </c>
      <c r="F90" s="317">
        <f t="shared" si="44"/>
        <v>0</v>
      </c>
      <c r="G90" s="317">
        <f t="shared" si="44"/>
        <v>3.2000000000000001E-2</v>
      </c>
      <c r="H90" s="317">
        <f t="shared" si="44"/>
        <v>0</v>
      </c>
      <c r="I90" s="317">
        <f t="shared" si="44"/>
        <v>80.534999999999997</v>
      </c>
      <c r="J90" s="317">
        <f t="shared" si="44"/>
        <v>80.567000000000007</v>
      </c>
      <c r="K90" s="318">
        <f t="shared" si="17"/>
        <v>0.3708160874658335</v>
      </c>
    </row>
    <row r="91" spans="1:13" x14ac:dyDescent="0.25">
      <c r="A91" s="319" t="s">
        <v>25</v>
      </c>
      <c r="B91" s="320"/>
      <c r="C91" s="321">
        <f>AVERAGE(C75,C80,C85,C90)</f>
        <v>127.263125</v>
      </c>
      <c r="D91" s="321">
        <f t="shared" ref="D91:J91" si="45">AVERAGE(D75,D80,D85,D90)</f>
        <v>126.43468750000001</v>
      </c>
      <c r="E91" s="321">
        <f t="shared" si="45"/>
        <v>0.45531250000000006</v>
      </c>
      <c r="F91" s="321">
        <f t="shared" si="45"/>
        <v>5.9937499999999998E-2</v>
      </c>
      <c r="G91" s="321">
        <f t="shared" si="45"/>
        <v>3.4437500000000003E-2</v>
      </c>
      <c r="H91" s="321">
        <f t="shared" si="45"/>
        <v>0.27875</v>
      </c>
      <c r="I91" s="321">
        <f t="shared" si="45"/>
        <v>78.116250000000008</v>
      </c>
      <c r="J91" s="321">
        <f t="shared" si="45"/>
        <v>78.489374999999995</v>
      </c>
      <c r="K91" s="322">
        <f t="shared" si="17"/>
        <v>0.38325123636560082</v>
      </c>
    </row>
    <row r="92" spans="1:13" ht="38.25" x14ac:dyDescent="0.25">
      <c r="B92" s="323"/>
      <c r="C92" s="324" t="s">
        <v>137</v>
      </c>
      <c r="D92" s="325"/>
      <c r="E92" s="325"/>
      <c r="F92" s="325"/>
      <c r="G92" s="325"/>
      <c r="H92" s="325"/>
      <c r="I92" s="325"/>
      <c r="J92" s="324" t="s">
        <v>145</v>
      </c>
      <c r="K92" s="324" t="s">
        <v>148</v>
      </c>
      <c r="L92" s="324" t="s">
        <v>88</v>
      </c>
      <c r="M92" s="324" t="s">
        <v>87</v>
      </c>
    </row>
    <row r="93" spans="1:13" x14ac:dyDescent="0.25">
      <c r="B93" s="326" t="s">
        <v>193</v>
      </c>
      <c r="C93" s="327">
        <f>AVERAGE(C71:C72,C76:C77,C81:C82,C86:C87)</f>
        <v>127.52625</v>
      </c>
      <c r="D93" s="327"/>
      <c r="E93" s="327"/>
      <c r="F93" s="327"/>
      <c r="G93" s="327"/>
      <c r="H93" s="327"/>
      <c r="I93" s="327"/>
      <c r="J93" s="327">
        <f t="shared" ref="J93" si="46">AVERAGE(J71:J72,J76:J77,J81:J82,J86:J87)</f>
        <v>80.257875000000013</v>
      </c>
      <c r="K93" s="328">
        <f>AVERAGE(K71:K72,K76:K77,K81:K82,K86:K87)</f>
        <v>0.3703390314589361</v>
      </c>
      <c r="L93" s="329">
        <f>MIN($K71:$K72,$K76:$K77,$K81:$K82,$K86:$K87)</f>
        <v>0.2812943962115233</v>
      </c>
      <c r="M93" s="329">
        <f>MAX($K71:$K72,$K76:$K77,$K81:$K82,$K86:$K87)</f>
        <v>0.45878693623639194</v>
      </c>
    </row>
    <row r="94" spans="1:13" x14ac:dyDescent="0.25">
      <c r="B94" s="326" t="s">
        <v>194</v>
      </c>
      <c r="C94" s="327">
        <f>AVERAGE(C73:C74,C78:C79,C83:C84,C88:C89)</f>
        <v>127</v>
      </c>
      <c r="D94" s="327"/>
      <c r="E94" s="327"/>
      <c r="F94" s="327"/>
      <c r="G94" s="327"/>
      <c r="H94" s="327"/>
      <c r="I94" s="327"/>
      <c r="J94" s="327">
        <f t="shared" ref="J94:K94" si="47">AVERAGE(J73:J74,J78:J79,J83:J84,J88:J89)</f>
        <v>76.720875000000007</v>
      </c>
      <c r="K94" s="328">
        <f t="shared" si="47"/>
        <v>0.39551394272628215</v>
      </c>
      <c r="L94" s="329">
        <f>MIN($K73:$K74,$K78:$K79,$K83:$K84,$K88:$K89)</f>
        <v>0.33467897271268066</v>
      </c>
      <c r="M94" s="329">
        <f>MAX($K73:$K74,$K78:$K79,$K83:$K84,$K88:$K89)</f>
        <v>0.47388001860176726</v>
      </c>
    </row>
    <row r="95" spans="1:13" x14ac:dyDescent="0.25">
      <c r="J95" t="s">
        <v>195</v>
      </c>
      <c r="L95" s="330">
        <f>MIN(K71:K74,K76:K79,K81:K84,K86:K89)</f>
        <v>0.2812943962115233</v>
      </c>
      <c r="M95" s="39">
        <f>MAX(K71:K74,K76:K79,K81:K84,K86:K89)</f>
        <v>0.47388001860176726</v>
      </c>
    </row>
    <row r="96" spans="1:13" x14ac:dyDescent="0.25">
      <c r="B96" t="s">
        <v>196</v>
      </c>
      <c r="C96" s="331">
        <f>AVERAGE(C71,C73,C76,C78,C81,C83,C86,C88)</f>
        <v>126.80374999999999</v>
      </c>
      <c r="J96" s="331">
        <f>AVERAGE(J71,J73,J76,J78,J81,J83,J86,J88)</f>
        <v>78.671875</v>
      </c>
      <c r="K96" s="270">
        <f>AVERAGE(K71,K73,K76,K78,K81,K83,K86,K88)</f>
        <v>0.37925238247129778</v>
      </c>
    </row>
    <row r="97" spans="2:11" x14ac:dyDescent="0.25">
      <c r="B97" t="s">
        <v>197</v>
      </c>
      <c r="C97" s="331">
        <f>AVERAGE(C72,C74,C77,C79,C82,C84,C87,C89)</f>
        <v>127.72250000000001</v>
      </c>
      <c r="J97" s="331">
        <f>AVERAGE(J72,J74,J77,J79,J82,J84,J87,J89)</f>
        <v>78.306875000000005</v>
      </c>
      <c r="K97" s="270">
        <f>AVERAGE(K72,K74,K77,K79,K82,K84,K87,K89)</f>
        <v>0.38660059171392058</v>
      </c>
    </row>
  </sheetData>
  <mergeCells count="16">
    <mergeCell ref="A71:A75"/>
    <mergeCell ref="A76:A80"/>
    <mergeCell ref="A81:A85"/>
    <mergeCell ref="A86:A90"/>
    <mergeCell ref="C69:C70"/>
    <mergeCell ref="B69:B70"/>
    <mergeCell ref="D69:D70"/>
    <mergeCell ref="E69:H69"/>
    <mergeCell ref="I69:I70"/>
    <mergeCell ref="J69:J70"/>
    <mergeCell ref="K69:K70"/>
    <mergeCell ref="A2:A17"/>
    <mergeCell ref="A18:A35"/>
    <mergeCell ref="A36:A51"/>
    <mergeCell ref="A52:A67"/>
    <mergeCell ref="A69:A70"/>
  </mergeCells>
  <pageMargins left="0.23622047244094491" right="0.23622047244094491" top="0.35433070866141736" bottom="0.35433070866141736" header="0.31496062992125984" footer="0.31496062992125984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M19" sqref="M19"/>
    </sheetView>
  </sheetViews>
  <sheetFormatPr baseColWidth="10" defaultRowHeight="15" x14ac:dyDescent="0.25"/>
  <cols>
    <col min="2" max="2" width="29.28515625" customWidth="1"/>
  </cols>
  <sheetData>
    <row r="1" spans="1:10" s="1" customFormat="1" ht="12.75" x14ac:dyDescent="0.2"/>
    <row r="2" spans="1:10" s="1" customFormat="1" ht="15.75" x14ac:dyDescent="0.25">
      <c r="A2" s="1" t="s">
        <v>0</v>
      </c>
      <c r="B2" s="336" t="str">
        <f>'[2]F 1 _ Echant et Séchage'!D5</f>
        <v>ISS-A15-PB-PAR</v>
      </c>
      <c r="C2" s="336"/>
      <c r="D2" s="336"/>
      <c r="E2" s="336"/>
      <c r="F2" s="336"/>
      <c r="G2" s="2"/>
      <c r="H2" s="2"/>
      <c r="I2" s="2"/>
      <c r="J2" s="2"/>
    </row>
    <row r="3" spans="1:10" s="1" customFormat="1" ht="12.75" x14ac:dyDescent="0.2">
      <c r="A3" s="1" t="s">
        <v>1</v>
      </c>
      <c r="B3" s="343" t="str">
        <f>'[2]F 1 _ Echant et Séchage'!D6</f>
        <v>AK 406 QT - 7E ARRDT</v>
      </c>
      <c r="C3" s="343"/>
      <c r="D3" s="343"/>
      <c r="E3" s="343"/>
      <c r="F3" s="343"/>
      <c r="G3" s="3"/>
      <c r="H3" s="3"/>
      <c r="I3" s="3"/>
      <c r="J3" s="3"/>
    </row>
    <row r="4" spans="1:10" s="1" customFormat="1" ht="12.75" x14ac:dyDescent="0.2">
      <c r="A4" s="1" t="s">
        <v>2</v>
      </c>
      <c r="B4" s="250"/>
      <c r="C4" s="250" t="str">
        <f>'[2]F 1 _ Echant et Séchage'!D8</f>
        <v>ISSEANE</v>
      </c>
      <c r="D4" s="250"/>
      <c r="E4" s="250"/>
      <c r="F4" s="250"/>
      <c r="G4" s="3"/>
      <c r="H4" s="3"/>
      <c r="I4" s="3"/>
      <c r="J4" s="3"/>
    </row>
    <row r="5" spans="1:10" s="1" customFormat="1" ht="12.75" x14ac:dyDescent="0.2">
      <c r="A5" s="1" t="s">
        <v>3</v>
      </c>
      <c r="B5" s="250"/>
      <c r="C5" s="250" t="str">
        <f>'[2]F 1 _ Echant et Séchage'!E15</f>
        <v>nuageux</v>
      </c>
      <c r="D5" s="250"/>
      <c r="E5" s="250"/>
      <c r="F5" s="250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'[2]F 1 _ Echant et Séchage'!B12</f>
        <v>42271</v>
      </c>
      <c r="D9" s="337" t="s">
        <v>6</v>
      </c>
      <c r="E9" s="337"/>
      <c r="F9" s="337"/>
      <c r="G9" s="6">
        <f>'[2]F 1 _ Echant et Séchage'!G19</f>
        <v>126.49999999999999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'[2]F 1 _ Echant et Séchage'!E12</f>
        <v>19H20</v>
      </c>
      <c r="D10" s="337" t="s">
        <v>9</v>
      </c>
      <c r="E10" s="337"/>
      <c r="F10" s="337"/>
      <c r="G10" s="250">
        <f>'[2]F 1 _ Echant et Séchage'!H26</f>
        <v>0.47</v>
      </c>
      <c r="H10" s="250"/>
      <c r="I10" s="9"/>
      <c r="J10" s="1" t="s">
        <v>10</v>
      </c>
    </row>
    <row r="11" spans="1:10" s="1" customFormat="1" ht="12.75" x14ac:dyDescent="0.2">
      <c r="B11" s="337"/>
      <c r="C11" s="337"/>
      <c r="D11" s="337" t="s">
        <v>11</v>
      </c>
      <c r="E11" s="337"/>
      <c r="F11" s="337"/>
      <c r="G11" s="10">
        <f>G9/1000/G10</f>
        <v>0.26914893617021274</v>
      </c>
      <c r="H11" s="10"/>
      <c r="I11" s="3"/>
      <c r="J11" s="3" t="s">
        <v>12</v>
      </c>
    </row>
    <row r="12" spans="1:10" s="1" customFormat="1" ht="12.75" x14ac:dyDescent="0.2">
      <c r="B12" s="7"/>
      <c r="D12" s="337" t="s">
        <v>13</v>
      </c>
      <c r="E12" s="337"/>
      <c r="F12" s="337"/>
      <c r="G12" s="236">
        <f>'[2]F 1 _ Echant et Séchage'!D51</f>
        <v>0.33059288537549381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s="1" customFormat="1" ht="15" customHeight="1" x14ac:dyDescent="0.2">
      <c r="A18" s="349" t="s">
        <v>26</v>
      </c>
      <c r="B18" s="18" t="s">
        <v>119</v>
      </c>
      <c r="C18" s="19">
        <f>'[2]F 4 TRI _ Granulo'!K5</f>
        <v>6.1006028368794345</v>
      </c>
      <c r="D18" s="20">
        <f>'[2]F 4 TRI _ Granulo'!H5</f>
        <v>3.0000000000000027E-2</v>
      </c>
      <c r="E18" s="20">
        <f>'[2]F 4 TRI _ Granulo'!E5</f>
        <v>0</v>
      </c>
      <c r="F18" s="20">
        <f>SUM(C18:E18)</f>
        <v>6.1306028368794347</v>
      </c>
      <c r="G18" s="21">
        <f t="shared" ref="G18:G64" si="0">F18/$F$64</f>
        <v>7.3578536958230606E-2</v>
      </c>
      <c r="H18" s="21">
        <f>G18*J18/I18</f>
        <v>0.1455025752364181</v>
      </c>
      <c r="I18" s="344">
        <f>G18+G19+G20+G21+G22</f>
        <v>0.15952748486044022</v>
      </c>
      <c r="J18" s="344">
        <f>'[2]Calcul sous cat &gt;20'!N8/100</f>
        <v>0.31546780933357854</v>
      </c>
    </row>
    <row r="19" spans="1:10" s="1" customFormat="1" ht="15" customHeight="1" x14ac:dyDescent="0.2">
      <c r="A19" s="350"/>
      <c r="B19" s="18" t="s">
        <v>27</v>
      </c>
      <c r="C19" s="19">
        <f>'[2]F 4 TRI _ Granulo'!K6</f>
        <v>4.1813120567375881</v>
      </c>
      <c r="D19" s="20">
        <f>'[2]F 4 TRI _ Granulo'!H6</f>
        <v>2.97</v>
      </c>
      <c r="E19" s="20">
        <f>'[2]F 4 TRI _ Granulo'!E6</f>
        <v>0</v>
      </c>
      <c r="F19" s="20">
        <f>SUM(C19:E19)</f>
        <v>7.1513120567375879</v>
      </c>
      <c r="G19" s="21">
        <f t="shared" si="0"/>
        <v>8.5828929465334838E-2</v>
      </c>
      <c r="H19" s="21">
        <f>G19*J18/I18</f>
        <v>0.16972789597706375</v>
      </c>
      <c r="I19" s="344"/>
      <c r="J19" s="344"/>
    </row>
    <row r="20" spans="1:10" s="1" customFormat="1" ht="15" customHeight="1" x14ac:dyDescent="0.2">
      <c r="A20" s="350"/>
      <c r="B20" s="18" t="s">
        <v>28</v>
      </c>
      <c r="C20" s="19">
        <f>'[2]F 4 TRI _ Granulo'!K7</f>
        <v>0</v>
      </c>
      <c r="D20" s="20">
        <f>'[2]F 4 TRI _ Granulo'!H7</f>
        <v>0</v>
      </c>
      <c r="E20" s="20">
        <f>'[2]F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s="1" customFormat="1" ht="15" customHeight="1" x14ac:dyDescent="0.2">
      <c r="A21" s="350"/>
      <c r="B21" s="18" t="s">
        <v>29</v>
      </c>
      <c r="C21" s="19">
        <f>'[2]F 4 TRI _ Granulo'!K8</f>
        <v>0</v>
      </c>
      <c r="D21" s="20">
        <f>'[2]F 4 TRI _ Granulo'!H8</f>
        <v>0</v>
      </c>
      <c r="E21" s="20">
        <f>'[2]F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344"/>
      <c r="J21" s="344"/>
    </row>
    <row r="22" spans="1:10" s="1" customFormat="1" ht="15" customHeight="1" x14ac:dyDescent="0.2">
      <c r="A22" s="351"/>
      <c r="B22" s="18" t="s">
        <v>30</v>
      </c>
      <c r="C22" s="19">
        <f>'[2]F 4 TRI _ Granulo'!K9</f>
        <v>0</v>
      </c>
      <c r="D22" s="20">
        <f>'[2]F 4 TRI _ Granulo'!H9</f>
        <v>1.0000000000000009E-2</v>
      </c>
      <c r="E22" s="20">
        <f>'[2]F 4 TRI _ Granulo'!E9</f>
        <v>0</v>
      </c>
      <c r="F22" s="20">
        <f t="shared" si="1"/>
        <v>1.0000000000000009E-2</v>
      </c>
      <c r="G22" s="21">
        <f t="shared" si="0"/>
        <v>1.2001843687477103E-4</v>
      </c>
      <c r="H22" s="21">
        <f>G22*J18/I18</f>
        <v>2.3733812009665454E-4</v>
      </c>
      <c r="I22" s="344"/>
      <c r="J22" s="344"/>
    </row>
    <row r="23" spans="1:10" s="1" customFormat="1" ht="15" customHeight="1" x14ac:dyDescent="0.2">
      <c r="A23" s="345" t="s">
        <v>31</v>
      </c>
      <c r="B23" s="18" t="s">
        <v>32</v>
      </c>
      <c r="C23" s="19">
        <f>'[2]F 4 TRI _ Granulo'!K10</f>
        <v>0.89109929078014272</v>
      </c>
      <c r="D23" s="20">
        <f>'[2]F 4 TRI _ Granulo'!H10</f>
        <v>0.37000000000000011</v>
      </c>
      <c r="E23" s="20">
        <f>'[2]F 4 TRI _ Granulo'!E10</f>
        <v>0</v>
      </c>
      <c r="F23" s="20">
        <f t="shared" si="1"/>
        <v>1.2610992907801428</v>
      </c>
      <c r="G23" s="21">
        <f t="shared" si="0"/>
        <v>1.5135516562331496E-2</v>
      </c>
      <c r="H23" s="21">
        <f>'[2]Calcul sous cat &gt;20'!N32/100</f>
        <v>1.2485630622489172E-2</v>
      </c>
      <c r="I23" s="348">
        <f>G23+G24+G25+G26+G27</f>
        <v>8.4015459396102998E-2</v>
      </c>
      <c r="J23" s="348">
        <f>'[2]Calcul sous cat &gt;20'!N9/100</f>
        <v>6.8189459579307596E-2</v>
      </c>
    </row>
    <row r="24" spans="1:10" s="1" customFormat="1" ht="15" customHeight="1" x14ac:dyDescent="0.2">
      <c r="A24" s="346"/>
      <c r="B24" s="18" t="s">
        <v>33</v>
      </c>
      <c r="C24" s="19">
        <f>'[2]F 4 TRI _ Granulo'!K11</f>
        <v>0</v>
      </c>
      <c r="D24" s="20">
        <f>'[2]F 4 TRI _ Granulo'!H11</f>
        <v>1.67</v>
      </c>
      <c r="E24" s="20">
        <f>'[2]F 4 TRI _ Granulo'!E11</f>
        <v>0</v>
      </c>
      <c r="F24" s="20">
        <f t="shared" si="1"/>
        <v>1.67</v>
      </c>
      <c r="G24" s="21">
        <f t="shared" si="0"/>
        <v>2.0043078958086744E-2</v>
      </c>
      <c r="H24" s="21">
        <f>'[2]Calcul sous cat &gt;20'!N33/100</f>
        <v>1.6004270890525488E-2</v>
      </c>
      <c r="I24" s="348"/>
      <c r="J24" s="348"/>
    </row>
    <row r="25" spans="1:10" s="1" customFormat="1" ht="15" customHeight="1" x14ac:dyDescent="0.2">
      <c r="A25" s="346"/>
      <c r="B25" s="18" t="s">
        <v>34</v>
      </c>
      <c r="C25" s="19">
        <f>'[2]F 4 TRI _ Granulo'!K12</f>
        <v>0.34273049645390108</v>
      </c>
      <c r="D25" s="20">
        <f>'[2]F 4 TRI _ Granulo'!H12</f>
        <v>0.33000000000000007</v>
      </c>
      <c r="E25" s="20">
        <f>'[2]F 4 TRI _ Granulo'!E12</f>
        <v>0</v>
      </c>
      <c r="F25" s="20">
        <f t="shared" si="1"/>
        <v>0.67273049645390115</v>
      </c>
      <c r="G25" s="21">
        <f t="shared" si="0"/>
        <v>8.0740062622385849E-3</v>
      </c>
      <c r="H25" s="21">
        <f>'[2]Calcul sous cat &gt;20'!N34/100</f>
        <v>6.4470425757879824E-3</v>
      </c>
      <c r="I25" s="348"/>
      <c r="J25" s="348"/>
    </row>
    <row r="26" spans="1:10" s="1" customFormat="1" ht="15" customHeight="1" x14ac:dyDescent="0.2">
      <c r="A26" s="346"/>
      <c r="B26" s="18" t="s">
        <v>35</v>
      </c>
      <c r="C26" s="19">
        <f>'[2]F 4 TRI _ Granulo'!K13</f>
        <v>0.75400709219858242</v>
      </c>
      <c r="D26" s="20">
        <f>'[2]F 4 TRI _ Granulo'!H13</f>
        <v>0.81</v>
      </c>
      <c r="E26" s="20">
        <f>'[2]F 4 TRI _ Granulo'!E13</f>
        <v>0</v>
      </c>
      <c r="F26" s="20">
        <f t="shared" si="1"/>
        <v>1.5640070921985825</v>
      </c>
      <c r="G26" s="21">
        <f t="shared" si="0"/>
        <v>1.8770968646672961E-2</v>
      </c>
      <c r="H26" s="21">
        <f>'[2]Calcul sous cat &gt;20'!N35/100</f>
        <v>1.5139836868463135E-2</v>
      </c>
      <c r="I26" s="348"/>
      <c r="J26" s="348"/>
    </row>
    <row r="27" spans="1:10" s="1" customFormat="1" ht="15" customHeight="1" x14ac:dyDescent="0.2">
      <c r="A27" s="347"/>
      <c r="B27" s="18" t="s">
        <v>36</v>
      </c>
      <c r="C27" s="19">
        <f>'[2]F 4 TRI _ Granulo'!K14</f>
        <v>1.3023758865248241</v>
      </c>
      <c r="D27" s="20">
        <f>'[2]F 4 TRI _ Granulo'!H14</f>
        <v>0.53000000000000025</v>
      </c>
      <c r="E27" s="20">
        <f>'[2]F 4 TRI _ Granulo'!E14</f>
        <v>0</v>
      </c>
      <c r="F27" s="20">
        <f t="shared" si="1"/>
        <v>1.8323758865248243</v>
      </c>
      <c r="G27" s="21">
        <f t="shared" si="0"/>
        <v>2.1991888966773204E-2</v>
      </c>
      <c r="H27" s="21">
        <f>'[2]Calcul sous cat &gt;20'!N36/100</f>
        <v>1.8112678622041817E-2</v>
      </c>
      <c r="I27" s="348"/>
      <c r="J27" s="348"/>
    </row>
    <row r="28" spans="1:10" s="1" customFormat="1" ht="15" customHeight="1" x14ac:dyDescent="0.2">
      <c r="A28" s="345" t="s">
        <v>37</v>
      </c>
      <c r="B28" s="18" t="s">
        <v>38</v>
      </c>
      <c r="C28" s="19">
        <f>'[2]F 4 TRI _ Granulo'!K15</f>
        <v>0.20563829787234061</v>
      </c>
      <c r="D28" s="20">
        <f>'[2]F 4 TRI _ Granulo'!H15</f>
        <v>0.83000000000000007</v>
      </c>
      <c r="E28" s="20">
        <f>'[2]F 4 TRI _ Granulo'!E15</f>
        <v>0</v>
      </c>
      <c r="F28" s="20">
        <f t="shared" si="1"/>
        <v>1.0356382978723406</v>
      </c>
      <c r="G28" s="21">
        <f t="shared" si="0"/>
        <v>1.2429568967828673E-2</v>
      </c>
      <c r="H28" s="21">
        <f>'[2]Calcul sous cat &gt;20'!N37/100</f>
        <v>1.0021320881988515E-2</v>
      </c>
      <c r="I28" s="348">
        <f>G28+G29+G30</f>
        <v>5.083121279481656E-2</v>
      </c>
      <c r="J28" s="348">
        <f>'[2]Calcul sous cat &gt;20'!N10/100</f>
        <v>4.125957924287034E-2</v>
      </c>
    </row>
    <row r="29" spans="1:10" s="1" customFormat="1" ht="15" customHeight="1" x14ac:dyDescent="0.2">
      <c r="A29" s="346"/>
      <c r="B29" s="18" t="s">
        <v>39</v>
      </c>
      <c r="C29" s="19">
        <f>'[2]F 4 TRI _ Granulo'!K16</f>
        <v>0.6169148936170219</v>
      </c>
      <c r="D29" s="20">
        <f>'[2]F 4 TRI _ Granulo'!H16</f>
        <v>0.87000000000000011</v>
      </c>
      <c r="E29" s="20">
        <f>'[2]F 4 TRI _ Granulo'!E16</f>
        <v>0.4</v>
      </c>
      <c r="F29" s="20">
        <f t="shared" si="1"/>
        <v>1.8869148936170221</v>
      </c>
      <c r="G29" s="21">
        <f t="shared" si="0"/>
        <v>2.2646457604763966E-2</v>
      </c>
      <c r="H29" s="21">
        <f>'[2]Calcul sous cat &gt;20'!N38/100</f>
        <v>1.8266928900045661E-2</v>
      </c>
      <c r="I29" s="348"/>
      <c r="J29" s="348"/>
    </row>
    <row r="30" spans="1:10" s="1" customFormat="1" ht="15" customHeight="1" x14ac:dyDescent="0.2">
      <c r="A30" s="347"/>
      <c r="B30" s="18" t="s">
        <v>40</v>
      </c>
      <c r="C30" s="19">
        <f>'[2]F 4 TRI _ Granulo'!K17</f>
        <v>0.34273049645390108</v>
      </c>
      <c r="D30" s="20">
        <f>'[2]F 4 TRI _ Granulo'!H17</f>
        <v>0.9700000000000002</v>
      </c>
      <c r="E30" s="20">
        <f>'[2]F 4 TRI _ Granulo'!E17</f>
        <v>0</v>
      </c>
      <c r="F30" s="20">
        <f t="shared" si="1"/>
        <v>1.3127304964539013</v>
      </c>
      <c r="G30" s="21">
        <f t="shared" si="0"/>
        <v>1.5755186222223924E-2</v>
      </c>
      <c r="H30" s="21">
        <f>'[2]Calcul sous cat &gt;20'!N39/100</f>
        <v>1.2971329460836168E-2</v>
      </c>
      <c r="I30" s="348"/>
      <c r="J30" s="348"/>
    </row>
    <row r="31" spans="1:10" s="1" customFormat="1" ht="15" customHeight="1" x14ac:dyDescent="0.2">
      <c r="A31" s="352" t="s">
        <v>41</v>
      </c>
      <c r="B31" s="18" t="s">
        <v>42</v>
      </c>
      <c r="C31" s="19">
        <f>'[2]F 4 TRI _ Granulo'!K18</f>
        <v>6.8546099290780219E-2</v>
      </c>
      <c r="D31" s="20">
        <f>'[2]F 4 TRI _ Granulo'!H18</f>
        <v>0.73</v>
      </c>
      <c r="E31" s="20">
        <f>'[2]F 4 TRI _ Granulo'!E18</f>
        <v>0</v>
      </c>
      <c r="F31" s="20">
        <f t="shared" si="1"/>
        <v>0.79854609929078024</v>
      </c>
      <c r="G31" s="21">
        <f t="shared" si="0"/>
        <v>9.5840254609325069E-3</v>
      </c>
      <c r="H31" s="241">
        <f>G31*J31/I31</f>
        <v>9.7943634833972445E-3</v>
      </c>
      <c r="I31" s="355">
        <f>G31+G32+G33+G34</f>
        <v>2.1839099538269499E-2</v>
      </c>
      <c r="J31" s="355">
        <f>'[2]Calcul sous cat &gt;20'!N11/100</f>
        <v>2.2318396366936648E-2</v>
      </c>
    </row>
    <row r="32" spans="1:10" s="1" customFormat="1" ht="15" customHeight="1" x14ac:dyDescent="0.2">
      <c r="A32" s="353"/>
      <c r="B32" s="18" t="s">
        <v>43</v>
      </c>
      <c r="C32" s="19">
        <f>'[2]F 4 TRI _ Granulo'!K19</f>
        <v>0.89109929078014272</v>
      </c>
      <c r="D32" s="20">
        <f>'[2]F 4 TRI _ Granulo'!H19</f>
        <v>0.13000000000000012</v>
      </c>
      <c r="E32" s="20">
        <f>'[2]F 4 TRI _ Granulo'!E19</f>
        <v>0</v>
      </c>
      <c r="F32" s="20">
        <f t="shared" si="1"/>
        <v>1.0210992907801428</v>
      </c>
      <c r="G32" s="21">
        <f t="shared" si="0"/>
        <v>1.2255074077336994E-2</v>
      </c>
      <c r="H32" s="241">
        <f>G32*J31/I31</f>
        <v>1.2524032883539406E-2</v>
      </c>
      <c r="I32" s="356"/>
      <c r="J32" s="356"/>
    </row>
    <row r="33" spans="1:10" s="1" customFormat="1" ht="15" customHeight="1" x14ac:dyDescent="0.2">
      <c r="A33" s="353"/>
      <c r="B33" s="18" t="s">
        <v>44</v>
      </c>
      <c r="C33" s="19">
        <f>'[2]F 4 TRI _ Granulo'!K20</f>
        <v>0</v>
      </c>
      <c r="D33" s="20">
        <f>'[2]F 4 TRI _ Granulo'!H20</f>
        <v>0</v>
      </c>
      <c r="E33" s="20">
        <f>'[2]F 4 TRI _ Granulo'!E20</f>
        <v>0</v>
      </c>
      <c r="F33" s="20">
        <f t="shared" si="1"/>
        <v>0</v>
      </c>
      <c r="G33" s="21">
        <f t="shared" si="0"/>
        <v>0</v>
      </c>
      <c r="H33" s="241">
        <f>G33*J31/I31</f>
        <v>0</v>
      </c>
      <c r="I33" s="356"/>
      <c r="J33" s="356"/>
    </row>
    <row r="34" spans="1:10" s="1" customFormat="1" ht="15" customHeight="1" x14ac:dyDescent="0.2">
      <c r="A34" s="354"/>
      <c r="B34" s="18" t="s">
        <v>120</v>
      </c>
      <c r="C34" s="19">
        <f>'[2]F 4 TRI _ Granulo'!K21</f>
        <v>0</v>
      </c>
      <c r="D34" s="20">
        <f>'[2]F 4 TRI _ Granulo'!H21</f>
        <v>0</v>
      </c>
      <c r="E34" s="20">
        <f>'[2]F 4 TRI _ Granulo'!E21</f>
        <v>0</v>
      </c>
      <c r="F34" s="20">
        <f t="shared" si="1"/>
        <v>0</v>
      </c>
      <c r="G34" s="21">
        <f t="shared" si="0"/>
        <v>0</v>
      </c>
      <c r="H34" s="241">
        <f>G34*J31/I31</f>
        <v>0</v>
      </c>
      <c r="I34" s="357"/>
      <c r="J34" s="357"/>
    </row>
    <row r="35" spans="1:10" s="1" customFormat="1" ht="15" customHeight="1" x14ac:dyDescent="0.2">
      <c r="A35" s="251" t="s">
        <v>45</v>
      </c>
      <c r="B35" s="18" t="s">
        <v>46</v>
      </c>
      <c r="C35" s="19">
        <f>'[2]F 4 TRI _ Granulo'!K22</f>
        <v>1.1652836879432638</v>
      </c>
      <c r="D35" s="20">
        <f>'[2]F 4 TRI _ Granulo'!H22</f>
        <v>1.67</v>
      </c>
      <c r="E35" s="20">
        <f>'[2]F 4 TRI _ Granulo'!E22</f>
        <v>0</v>
      </c>
      <c r="F35" s="20">
        <f t="shared" si="1"/>
        <v>2.8352836879432637</v>
      </c>
      <c r="G35" s="21">
        <f t="shared" si="0"/>
        <v>3.4028631632348628E-2</v>
      </c>
      <c r="H35" s="21">
        <f>'[2]Calcul sous cat &gt;20'!N43/100</f>
        <v>2.7605271908570667E-2</v>
      </c>
      <c r="I35" s="252">
        <f>G35</f>
        <v>3.4028631632348628E-2</v>
      </c>
      <c r="J35" s="252">
        <f>'[2]Calcul sous cat &gt;20'!N12/100</f>
        <v>2.7605271908570667E-2</v>
      </c>
    </row>
    <row r="36" spans="1:10" s="1" customFormat="1" ht="15" customHeight="1" x14ac:dyDescent="0.2">
      <c r="A36" s="345" t="s">
        <v>47</v>
      </c>
      <c r="B36" s="18" t="s">
        <v>48</v>
      </c>
      <c r="C36" s="19">
        <f>'[2]F 4 TRI _ Granulo'!K23</f>
        <v>6.8546099290780219E-2</v>
      </c>
      <c r="D36" s="20">
        <f>'[2]F 4 TRI _ Granulo'!H23</f>
        <v>10.209999999999999</v>
      </c>
      <c r="E36" s="20">
        <f>'[2]F 4 TRI _ Granulo'!E23</f>
        <v>0</v>
      </c>
      <c r="F36" s="20">
        <f t="shared" si="1"/>
        <v>10.278546099290779</v>
      </c>
      <c r="G36" s="21">
        <f t="shared" si="0"/>
        <v>0.12336150361821532</v>
      </c>
      <c r="H36" s="21">
        <f>'[2]Calcul sous cat &gt;20'!N44/100</f>
        <v>0.10290730239299745</v>
      </c>
      <c r="I36" s="348">
        <f>G36+G37</f>
        <v>0.1784308142655105</v>
      </c>
      <c r="J36" s="348">
        <f>'[2]Calcul sous cat &gt;20'!N13/100</f>
        <v>0.14850388345516141</v>
      </c>
    </row>
    <row r="37" spans="1:10" s="1" customFormat="1" ht="15" customHeight="1" x14ac:dyDescent="0.2">
      <c r="A37" s="347"/>
      <c r="B37" s="18" t="s">
        <v>49</v>
      </c>
      <c r="C37" s="19">
        <f>'[2]F 4 TRI _ Granulo'!K24</f>
        <v>4.3184042553191491</v>
      </c>
      <c r="D37" s="20">
        <f>'[2]F 4 TRI _ Granulo'!H24</f>
        <v>0.27</v>
      </c>
      <c r="E37" s="20">
        <f>'[2]F 4 TRI _ Granulo'!E24</f>
        <v>0</v>
      </c>
      <c r="F37" s="20">
        <f t="shared" si="1"/>
        <v>4.5884042553191495</v>
      </c>
      <c r="G37" s="21">
        <f t="shared" si="0"/>
        <v>5.5069310647295165E-2</v>
      </c>
      <c r="H37" s="21">
        <f>'[2]Calcul sous cat &gt;20'!N45/100</f>
        <v>4.5596581062163966E-2</v>
      </c>
      <c r="I37" s="348"/>
      <c r="J37" s="348"/>
    </row>
    <row r="38" spans="1:10" s="1" customFormat="1" ht="15" customHeight="1" x14ac:dyDescent="0.2">
      <c r="A38" s="345" t="s">
        <v>50</v>
      </c>
      <c r="B38" s="18" t="s">
        <v>51</v>
      </c>
      <c r="C38" s="19">
        <f>'[2]F 4 TRI _ Granulo'!K25</f>
        <v>0.89109929078014272</v>
      </c>
      <c r="D38" s="20">
        <f>'[2]F 4 TRI _ Granulo'!H25</f>
        <v>7.9899999999999984</v>
      </c>
      <c r="E38" s="20">
        <f>'[2]F 4 TRI _ Granulo'!E25</f>
        <v>0</v>
      </c>
      <c r="F38" s="20">
        <f t="shared" si="1"/>
        <v>8.881099290780142</v>
      </c>
      <c r="G38" s="21">
        <f t="shared" si="0"/>
        <v>0.10658956546090693</v>
      </c>
      <c r="H38" s="21">
        <f>'[2]Calcul sous cat &gt;20'!N46/100</f>
        <v>9.9098175480752851E-2</v>
      </c>
      <c r="I38" s="348">
        <f>G38+G39+G40+G41+G42</f>
        <v>0.21923963638669597</v>
      </c>
      <c r="J38" s="348">
        <f>'[2]Calcul sous cat &gt;20'!N14/100</f>
        <v>0.20064396230094012</v>
      </c>
    </row>
    <row r="39" spans="1:10" s="1" customFormat="1" ht="15" customHeight="1" x14ac:dyDescent="0.2">
      <c r="A39" s="346"/>
      <c r="B39" s="18" t="s">
        <v>52</v>
      </c>
      <c r="C39" s="19">
        <f>'[2]F 4 TRI _ Granulo'!K26</f>
        <v>2.1249290780141852</v>
      </c>
      <c r="D39" s="20">
        <f>'[2]F 4 TRI _ Granulo'!H26</f>
        <v>0.39000000000000012</v>
      </c>
      <c r="E39" s="20">
        <f>'[2]F 4 TRI _ Granulo'!E26</f>
        <v>0</v>
      </c>
      <c r="F39" s="20">
        <f t="shared" si="1"/>
        <v>2.5149290780141853</v>
      </c>
      <c r="G39" s="21">
        <f t="shared" si="0"/>
        <v>3.0183785679417135E-2</v>
      </c>
      <c r="H39" s="21">
        <f>'[2]Calcul sous cat &gt;20'!N47/100</f>
        <v>2.5094192957901607E-2</v>
      </c>
      <c r="I39" s="348"/>
      <c r="J39" s="348"/>
    </row>
    <row r="40" spans="1:10" s="1" customFormat="1" ht="15" customHeight="1" x14ac:dyDescent="0.2">
      <c r="A40" s="346"/>
      <c r="B40" s="18" t="s">
        <v>53</v>
      </c>
      <c r="C40" s="19">
        <f>'[2]F 4 TRI _ Granulo'!K27</f>
        <v>0</v>
      </c>
      <c r="D40" s="20">
        <f>'[2]F 4 TRI _ Granulo'!H27</f>
        <v>0.17000000000000015</v>
      </c>
      <c r="E40" s="20">
        <f>'[2]F 4 TRI _ Granulo'!E27</f>
        <v>0</v>
      </c>
      <c r="F40" s="20">
        <f t="shared" si="1"/>
        <v>0.17000000000000015</v>
      </c>
      <c r="G40" s="21">
        <f t="shared" si="0"/>
        <v>2.0403134268711077E-3</v>
      </c>
      <c r="H40" s="21">
        <f>'[2]Calcul sous cat &gt;20'!N48/100</f>
        <v>1.6961221416387042E-3</v>
      </c>
      <c r="I40" s="348"/>
      <c r="J40" s="348"/>
    </row>
    <row r="41" spans="1:10" s="1" customFormat="1" ht="15" customHeight="1" x14ac:dyDescent="0.2">
      <c r="A41" s="346"/>
      <c r="B41" s="18" t="s">
        <v>54</v>
      </c>
      <c r="C41" s="19">
        <f>'[2]F 4 TRI _ Granulo'!K28</f>
        <v>0.89109929078014272</v>
      </c>
      <c r="D41" s="20">
        <f>'[2]F 4 TRI _ Granulo'!H28</f>
        <v>0.49000000000000021</v>
      </c>
      <c r="E41" s="20">
        <f>'[2]F 4 TRI _ Granulo'!E28</f>
        <v>0</v>
      </c>
      <c r="F41" s="20">
        <f t="shared" si="1"/>
        <v>1.3810992907801429</v>
      </c>
      <c r="G41" s="21">
        <f t="shared" si="0"/>
        <v>1.6575737804828749E-2</v>
      </c>
      <c r="H41" s="21">
        <f>'[2]Calcul sous cat &gt;20'!N49/100</f>
        <v>1.5406340246889425E-2</v>
      </c>
      <c r="I41" s="348"/>
      <c r="J41" s="348"/>
    </row>
    <row r="42" spans="1:10" s="1" customFormat="1" ht="27" customHeight="1" x14ac:dyDescent="0.2">
      <c r="A42" s="347"/>
      <c r="B42" s="18" t="s">
        <v>55</v>
      </c>
      <c r="C42" s="19">
        <f>'[2]F 4 TRI _ Granulo'!K29</f>
        <v>3.7700354609929101</v>
      </c>
      <c r="D42" s="20">
        <f>'[2]F 4 TRI _ Granulo'!H29</f>
        <v>1.5500000000000003</v>
      </c>
      <c r="E42" s="20">
        <f>'[2]F 4 TRI _ Granulo'!E29</f>
        <v>0</v>
      </c>
      <c r="F42" s="20">
        <f t="shared" si="1"/>
        <v>5.3200354609929104</v>
      </c>
      <c r="G42" s="21">
        <f t="shared" si="0"/>
        <v>6.3850234014672047E-2</v>
      </c>
      <c r="H42" s="21">
        <f>'[2]Calcul sous cat &gt;20'!N50/100</f>
        <v>5.9349131473757512E-2</v>
      </c>
      <c r="I42" s="348"/>
      <c r="J42" s="348"/>
    </row>
    <row r="43" spans="1:10" s="1" customFormat="1" ht="26.25" customHeight="1" x14ac:dyDescent="0.2">
      <c r="A43" s="251" t="s">
        <v>56</v>
      </c>
      <c r="B43" s="18" t="s">
        <v>56</v>
      </c>
      <c r="C43" s="19">
        <f>'[2]F 4 TRI _ Granulo'!K30</f>
        <v>0.75400709219858242</v>
      </c>
      <c r="D43" s="20">
        <f>'[2]F 4 TRI _ Granulo'!H30</f>
        <v>0.41000000000000014</v>
      </c>
      <c r="E43" s="20">
        <f>'[2]F 4 TRI _ Granulo'!E30</f>
        <v>0.04</v>
      </c>
      <c r="F43" s="20">
        <f t="shared" si="1"/>
        <v>1.2040070921985826</v>
      </c>
      <c r="G43" s="21">
        <f t="shared" si="0"/>
        <v>1.4450304919181209E-2</v>
      </c>
      <c r="H43" s="21">
        <f>J43</f>
        <v>1.1970669047025923E-2</v>
      </c>
      <c r="I43" s="252">
        <f>G43</f>
        <v>1.4450304919181209E-2</v>
      </c>
      <c r="J43" s="252">
        <f>'[2]Calcul sous cat &gt;20'!N15/100</f>
        <v>1.1970669047025923E-2</v>
      </c>
    </row>
    <row r="44" spans="1:10" s="1" customFormat="1" ht="15" customHeight="1" x14ac:dyDescent="0.2">
      <c r="A44" s="345" t="s">
        <v>57</v>
      </c>
      <c r="B44" s="18" t="s">
        <v>58</v>
      </c>
      <c r="C44" s="19">
        <f>'[2]F 4 TRI _ Granulo'!K31</f>
        <v>2.8103900709219873</v>
      </c>
      <c r="D44" s="20">
        <f>'[2]F 4 TRI _ Granulo'!H31</f>
        <v>4.2100000000000009</v>
      </c>
      <c r="E44" s="20">
        <f>'[2]F 4 TRI _ Granulo'!E31</f>
        <v>0</v>
      </c>
      <c r="F44" s="20">
        <f t="shared" si="1"/>
        <v>7.0203900709219882</v>
      </c>
      <c r="G44" s="21">
        <f t="shared" si="0"/>
        <v>8.4257624256321925E-2</v>
      </c>
      <c r="H44" s="21">
        <f>G44*J44/I44</f>
        <v>6.8299886284271472E-2</v>
      </c>
      <c r="I44" s="348">
        <f>G44+G45</f>
        <v>9.8243176930583806E-2</v>
      </c>
      <c r="J44" s="348">
        <f>'[2]Calcul sous cat &gt;20'!N16/100</f>
        <v>7.9636684178891734E-2</v>
      </c>
    </row>
    <row r="45" spans="1:10" s="1" customFormat="1" ht="15" customHeight="1" x14ac:dyDescent="0.2">
      <c r="A45" s="347"/>
      <c r="B45" s="18" t="s">
        <v>59</v>
      </c>
      <c r="C45" s="19">
        <f>'[2]F 4 TRI _ Granulo'!K32</f>
        <v>1.1652836879432638</v>
      </c>
      <c r="D45" s="20">
        <f>'[2]F 4 TRI _ Granulo'!H32</f>
        <v>0</v>
      </c>
      <c r="E45" s="20">
        <f>'[2]F 4 TRI _ Granulo'!E32</f>
        <v>0</v>
      </c>
      <c r="F45" s="20">
        <f t="shared" si="1"/>
        <v>1.1652836879432638</v>
      </c>
      <c r="G45" s="21">
        <f t="shared" si="0"/>
        <v>1.3985552674261886E-2</v>
      </c>
      <c r="H45" s="21">
        <f>G45*J44/I44</f>
        <v>1.1336797894620262E-2</v>
      </c>
      <c r="I45" s="348"/>
      <c r="J45" s="348"/>
    </row>
    <row r="46" spans="1:10" s="1" customFormat="1" ht="15" customHeight="1" x14ac:dyDescent="0.2">
      <c r="A46" s="345" t="s">
        <v>60</v>
      </c>
      <c r="B46" s="18" t="s">
        <v>61</v>
      </c>
      <c r="C46" s="19">
        <f>'[2]F 4 TRI _ Granulo'!K33</f>
        <v>6.8546099290780219E-2</v>
      </c>
      <c r="D46" s="20">
        <f>'[2]F 4 TRI _ Granulo'!H33</f>
        <v>0</v>
      </c>
      <c r="E46" s="20">
        <f>'[2]F 4 TRI _ Granulo'!E33</f>
        <v>0</v>
      </c>
      <c r="F46" s="20">
        <f t="shared" si="1"/>
        <v>6.8546099290780219E-2</v>
      </c>
      <c r="G46" s="21">
        <f t="shared" si="0"/>
        <v>8.2267956907422859E-4</v>
      </c>
      <c r="H46" s="21">
        <f t="shared" ref="H46:H51" si="2">G46*$J$46/$I$46</f>
        <v>6.8843305161840097E-4</v>
      </c>
      <c r="I46" s="348">
        <f>G46+G47+G50+G51+G48+G49</f>
        <v>4.5934715928702269E-3</v>
      </c>
      <c r="J46" s="348">
        <f>'[2]Calcul sous cat &gt;20'!N17/100</f>
        <v>3.8438995996468712E-3</v>
      </c>
    </row>
    <row r="47" spans="1:10" s="1" customFormat="1" ht="15" customHeight="1" x14ac:dyDescent="0.2">
      <c r="A47" s="346"/>
      <c r="B47" s="18" t="s">
        <v>62</v>
      </c>
      <c r="C47" s="19">
        <f>'[2]F 4 TRI _ Granulo'!K34</f>
        <v>6.8546099290780219E-2</v>
      </c>
      <c r="D47" s="20">
        <f>'[2]F 4 TRI _ Granulo'!H34</f>
        <v>1.0000000000000009E-2</v>
      </c>
      <c r="E47" s="20">
        <f>'[2]F 4 TRI _ Granulo'!E34</f>
        <v>0</v>
      </c>
      <c r="F47" s="20">
        <f t="shared" si="1"/>
        <v>7.8546099290780227E-2</v>
      </c>
      <c r="G47" s="21">
        <f t="shared" si="0"/>
        <v>9.426980059489996E-4</v>
      </c>
      <c r="H47" s="21">
        <f t="shared" si="2"/>
        <v>7.8886663700711757E-4</v>
      </c>
      <c r="I47" s="348"/>
      <c r="J47" s="348"/>
    </row>
    <row r="48" spans="1:10" s="1" customFormat="1" ht="15" customHeight="1" x14ac:dyDescent="0.2">
      <c r="A48" s="346"/>
      <c r="B48" s="18" t="s">
        <v>63</v>
      </c>
      <c r="C48" s="19">
        <f>'[2]F 4 TRI _ Granulo'!K35</f>
        <v>0</v>
      </c>
      <c r="D48" s="20">
        <f>'[2]F 4 TRI _ Granulo'!H35</f>
        <v>0</v>
      </c>
      <c r="E48" s="20">
        <f>'[2]F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s="1" customFormat="1" ht="15" customHeight="1" x14ac:dyDescent="0.2">
      <c r="A49" s="346"/>
      <c r="B49" s="18" t="s">
        <v>64</v>
      </c>
      <c r="C49" s="19">
        <f>'[2]F 4 TRI _ Granulo'!K36</f>
        <v>0</v>
      </c>
      <c r="D49" s="20">
        <f>'[2]F 4 TRI _ Granulo'!H36</f>
        <v>0</v>
      </c>
      <c r="E49" s="20">
        <f>'[2]F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s="1" customFormat="1" ht="15" customHeight="1" x14ac:dyDescent="0.2">
      <c r="A50" s="346"/>
      <c r="B50" s="18" t="s">
        <v>65</v>
      </c>
      <c r="C50" s="19">
        <f>'[2]F 4 TRI _ Granulo'!K37</f>
        <v>0.20563829787234061</v>
      </c>
      <c r="D50" s="20">
        <f>'[2]F 4 TRI _ Granulo'!H37</f>
        <v>3.0000000000000027E-2</v>
      </c>
      <c r="E50" s="20">
        <f>'[2]F 4 TRI _ Granulo'!E37</f>
        <v>0</v>
      </c>
      <c r="F50" s="20">
        <f t="shared" si="1"/>
        <v>0.23563829787234064</v>
      </c>
      <c r="G50" s="21">
        <f t="shared" si="0"/>
        <v>2.8280940178469984E-3</v>
      </c>
      <c r="H50" s="21">
        <f t="shared" si="2"/>
        <v>2.3665999110213526E-3</v>
      </c>
      <c r="I50" s="348"/>
      <c r="J50" s="348"/>
    </row>
    <row r="51" spans="1:10" s="1" customFormat="1" ht="15" customHeight="1" x14ac:dyDescent="0.2">
      <c r="A51" s="347"/>
      <c r="B51" s="18" t="s">
        <v>66</v>
      </c>
      <c r="C51" s="19">
        <f>'[2]F 4 TRI _ Granulo'!K38</f>
        <v>0</v>
      </c>
      <c r="D51" s="20">
        <f>'[2]F 4 TRI _ Granulo'!H38</f>
        <v>0</v>
      </c>
      <c r="E51" s="20">
        <f>'[2]F 4 TRI _ Granulo'!E38</f>
        <v>0</v>
      </c>
      <c r="F51" s="20">
        <f t="shared" si="1"/>
        <v>0</v>
      </c>
      <c r="G51" s="21">
        <f t="shared" si="0"/>
        <v>0</v>
      </c>
      <c r="H51" s="21">
        <f t="shared" si="2"/>
        <v>0</v>
      </c>
      <c r="I51" s="348"/>
      <c r="J51" s="348"/>
    </row>
    <row r="52" spans="1:10" s="1" customFormat="1" ht="15" customHeight="1" x14ac:dyDescent="0.2">
      <c r="A52" s="253" t="s">
        <v>67</v>
      </c>
      <c r="B52" s="18" t="s">
        <v>68</v>
      </c>
      <c r="C52" s="19">
        <f>'[2]F 4 TRI _ Granulo'!K39</f>
        <v>1.1652836879432638</v>
      </c>
      <c r="D52" s="20">
        <f>'[2]F 4 TRI _ Granulo'!H39</f>
        <v>0.64999999999999991</v>
      </c>
      <c r="E52" s="20">
        <f>'[2]F 4 TRI _ Granulo'!E39</f>
        <v>0</v>
      </c>
      <c r="F52" s="20">
        <f t="shared" si="1"/>
        <v>1.8152836879432637</v>
      </c>
      <c r="G52" s="21">
        <f t="shared" si="0"/>
        <v>2.1786751071121997E-2</v>
      </c>
      <c r="H52" s="21">
        <f>J52</f>
        <v>2.0161448643477596E-2</v>
      </c>
      <c r="I52" s="254">
        <f>G52</f>
        <v>2.1786751071121997E-2</v>
      </c>
      <c r="J52" s="254">
        <f>'[2]Calcul sous cat &gt;20'!N18/100</f>
        <v>2.0161448643477596E-2</v>
      </c>
    </row>
    <row r="53" spans="1:10" s="1" customFormat="1" ht="15" customHeight="1" x14ac:dyDescent="0.2">
      <c r="A53" s="345" t="s">
        <v>69</v>
      </c>
      <c r="B53" s="18" t="s">
        <v>121</v>
      </c>
      <c r="C53" s="19">
        <f>'[2]F 4 TRI _ Granulo'!K40</f>
        <v>0</v>
      </c>
      <c r="D53" s="20">
        <f>'[2]F 4 TRI _ Granulo'!H40</f>
        <v>1.1599999999999999</v>
      </c>
      <c r="E53" s="20">
        <f>'[2]F 4 TRI _ Granulo'!E40</f>
        <v>0</v>
      </c>
      <c r="F53" s="20">
        <f t="shared" si="1"/>
        <v>1.1599999999999999</v>
      </c>
      <c r="G53" s="21">
        <f t="shared" si="0"/>
        <v>1.3922138677473427E-2</v>
      </c>
      <c r="H53" s="241">
        <f>G53*J53/I53</f>
        <v>1.1523328921784469E-2</v>
      </c>
      <c r="I53" s="348">
        <f>SUM(G53:G62)</f>
        <v>1.4882286172471596E-2</v>
      </c>
      <c r="J53" s="348">
        <f>'[2]Calcul sous cat &gt;20'!N19/100</f>
        <v>1.2318041261217882E-2</v>
      </c>
    </row>
    <row r="54" spans="1:10" s="1" customFormat="1" ht="15" customHeight="1" x14ac:dyDescent="0.2">
      <c r="A54" s="346"/>
      <c r="B54" s="18" t="s">
        <v>70</v>
      </c>
      <c r="C54" s="19">
        <f>'[2]F 4 TRI _ Granulo'!K41</f>
        <v>0</v>
      </c>
      <c r="D54" s="20">
        <f>'[2]F 4 TRI _ Granulo'!H41</f>
        <v>0</v>
      </c>
      <c r="E54" s="20">
        <f>'[2]F 4 TRI _ Granulo'!E41</f>
        <v>0</v>
      </c>
      <c r="F54" s="20">
        <f t="shared" si="1"/>
        <v>0</v>
      </c>
      <c r="G54" s="21">
        <f t="shared" si="0"/>
        <v>0</v>
      </c>
      <c r="H54" s="241">
        <f>G54*J53/I53</f>
        <v>0</v>
      </c>
      <c r="I54" s="348"/>
      <c r="J54" s="348"/>
    </row>
    <row r="55" spans="1:10" s="1" customFormat="1" ht="15" customHeight="1" x14ac:dyDescent="0.2">
      <c r="A55" s="346"/>
      <c r="B55" s="18" t="s">
        <v>71</v>
      </c>
      <c r="C55" s="19">
        <f>'[2]F 4 TRI _ Granulo'!K42</f>
        <v>0</v>
      </c>
      <c r="D55" s="20">
        <f>'[2]F 4 TRI _ Granulo'!H42</f>
        <v>0</v>
      </c>
      <c r="E55" s="20">
        <f>'[2]F 4 TRI _ Granulo'!E42</f>
        <v>0</v>
      </c>
      <c r="F55" s="20">
        <f>SUM(C55:E55)</f>
        <v>0</v>
      </c>
      <c r="G55" s="21">
        <f t="shared" si="0"/>
        <v>0</v>
      </c>
      <c r="H55" s="241">
        <f>G55*J53/I53</f>
        <v>0</v>
      </c>
      <c r="I55" s="348"/>
      <c r="J55" s="348"/>
    </row>
    <row r="56" spans="1:10" s="1" customFormat="1" ht="15" customHeight="1" x14ac:dyDescent="0.2">
      <c r="A56" s="346"/>
      <c r="B56" s="18" t="s">
        <v>72</v>
      </c>
      <c r="C56" s="19">
        <f>'[2]F 4 TRI _ Granulo'!K43</f>
        <v>0</v>
      </c>
      <c r="D56" s="20">
        <f>'[2]F 4 TRI _ Granulo'!H43</f>
        <v>0</v>
      </c>
      <c r="E56" s="20">
        <f>'[2]F 4 TRI _ Granulo'!E43</f>
        <v>0</v>
      </c>
      <c r="F56" s="20">
        <f t="shared" si="1"/>
        <v>0</v>
      </c>
      <c r="G56" s="21">
        <f>F56/$F$64</f>
        <v>0</v>
      </c>
      <c r="H56" s="241">
        <f>G56*J53/I53</f>
        <v>0</v>
      </c>
      <c r="I56" s="348"/>
      <c r="J56" s="348"/>
    </row>
    <row r="57" spans="1:10" s="1" customFormat="1" ht="17.25" customHeight="1" x14ac:dyDescent="0.2">
      <c r="A57" s="346"/>
      <c r="B57" s="18" t="s">
        <v>122</v>
      </c>
      <c r="C57" s="19">
        <f>'[2]F 4 TRI _ Granulo'!K44</f>
        <v>0</v>
      </c>
      <c r="D57" s="20">
        <f>'[2]F 4 TRI _ Granulo'!H44</f>
        <v>8.0000000000000071E-2</v>
      </c>
      <c r="E57" s="20">
        <f>'[2]F 4 TRI _ Granulo'!E44</f>
        <v>0</v>
      </c>
      <c r="F57" s="20">
        <f t="shared" si="1"/>
        <v>8.0000000000000071E-2</v>
      </c>
      <c r="G57" s="21">
        <f t="shared" ref="G57:G62" si="3">F57/$F$64</f>
        <v>9.6014749499816828E-4</v>
      </c>
      <c r="H57" s="241">
        <f>G57*J53/I53</f>
        <v>7.9471233943341241E-4</v>
      </c>
      <c r="I57" s="348"/>
      <c r="J57" s="348"/>
    </row>
    <row r="58" spans="1:10" s="1" customFormat="1" ht="17.25" customHeight="1" x14ac:dyDescent="0.2">
      <c r="A58" s="346"/>
      <c r="B58" s="18" t="s">
        <v>123</v>
      </c>
      <c r="C58" s="19">
        <f>'[2]F 4 TRI _ Granulo'!K45</f>
        <v>0</v>
      </c>
      <c r="D58" s="20">
        <f>'[2]F 4 TRI _ Granulo'!H45</f>
        <v>0</v>
      </c>
      <c r="E58" s="20">
        <f>'[2]F 4 TRI _ Granulo'!E45</f>
        <v>0</v>
      </c>
      <c r="F58" s="20">
        <f t="shared" si="1"/>
        <v>0</v>
      </c>
      <c r="G58" s="21">
        <f t="shared" si="3"/>
        <v>0</v>
      </c>
      <c r="H58" s="241">
        <f>G58*J53/I53</f>
        <v>0</v>
      </c>
      <c r="I58" s="348"/>
      <c r="J58" s="348"/>
    </row>
    <row r="59" spans="1:10" s="1" customFormat="1" ht="25.5" customHeight="1" x14ac:dyDescent="0.2">
      <c r="A59" s="346"/>
      <c r="B59" s="18" t="s">
        <v>124</v>
      </c>
      <c r="C59" s="19">
        <f>'[2]F 4 TRI _ Granulo'!K46</f>
        <v>0</v>
      </c>
      <c r="D59" s="20">
        <f>'[2]F 4 TRI _ Granulo'!H46</f>
        <v>0</v>
      </c>
      <c r="E59" s="20">
        <f>'[2]F 4 TRI _ Granulo'!E46</f>
        <v>0</v>
      </c>
      <c r="F59" s="20">
        <f t="shared" si="1"/>
        <v>0</v>
      </c>
      <c r="G59" s="21">
        <f t="shared" si="3"/>
        <v>0</v>
      </c>
      <c r="H59" s="241">
        <f>G59*J53/I53</f>
        <v>0</v>
      </c>
      <c r="I59" s="348"/>
      <c r="J59" s="348"/>
    </row>
    <row r="60" spans="1:10" x14ac:dyDescent="0.25">
      <c r="A60" s="346"/>
      <c r="B60" s="18" t="s">
        <v>125</v>
      </c>
      <c r="C60" s="19">
        <f>'[2]F 4 TRI _ Granulo'!K47</f>
        <v>0</v>
      </c>
      <c r="D60" s="20">
        <f>'[2]F 4 TRI _ Granulo'!H47</f>
        <v>0</v>
      </c>
      <c r="E60" s="20">
        <f>'[2]F 4 TRI _ Granulo'!E47</f>
        <v>0</v>
      </c>
      <c r="F60" s="20">
        <f t="shared" si="1"/>
        <v>0</v>
      </c>
      <c r="G60" s="21">
        <f t="shared" si="3"/>
        <v>0</v>
      </c>
      <c r="H60" s="241">
        <f>G60*J53/I53</f>
        <v>0</v>
      </c>
      <c r="I60" s="348"/>
      <c r="J60" s="348"/>
    </row>
    <row r="61" spans="1:10" x14ac:dyDescent="0.25">
      <c r="A61" s="346"/>
      <c r="B61" s="18" t="s">
        <v>126</v>
      </c>
      <c r="C61" s="19">
        <f>'[2]F 4 TRI _ Granulo'!K48</f>
        <v>0</v>
      </c>
      <c r="D61" s="20">
        <f>'[2]F 4 TRI _ Granulo'!H48</f>
        <v>0</v>
      </c>
      <c r="E61" s="20">
        <f>'[2]F 4 TRI _ Granulo'!E48</f>
        <v>0</v>
      </c>
      <c r="F61" s="20">
        <f t="shared" si="1"/>
        <v>0</v>
      </c>
      <c r="G61" s="21">
        <f t="shared" si="3"/>
        <v>0</v>
      </c>
      <c r="H61" s="241">
        <f>G61*J53/I53</f>
        <v>0</v>
      </c>
      <c r="I61" s="348"/>
      <c r="J61" s="348"/>
    </row>
    <row r="62" spans="1:10" x14ac:dyDescent="0.25">
      <c r="A62" s="358"/>
      <c r="B62" s="18" t="s">
        <v>73</v>
      </c>
      <c r="C62" s="19">
        <f>'[2]F 4 TRI _ Granulo'!K49</f>
        <v>0</v>
      </c>
      <c r="D62" s="20">
        <f>'[2]F 4 TRI _ Granulo'!H49</f>
        <v>0</v>
      </c>
      <c r="E62" s="20">
        <f>'[2]F 4 TRI _ Granulo'!E49</f>
        <v>0</v>
      </c>
      <c r="F62" s="20">
        <f t="shared" si="1"/>
        <v>0</v>
      </c>
      <c r="G62" s="21">
        <f t="shared" si="3"/>
        <v>0</v>
      </c>
      <c r="H62" s="241">
        <f>G62*J53/I53</f>
        <v>0</v>
      </c>
      <c r="I62" s="348"/>
      <c r="J62" s="348"/>
    </row>
    <row r="63" spans="1:10" x14ac:dyDescent="0.25">
      <c r="A63" s="22" t="s">
        <v>74</v>
      </c>
      <c r="B63" s="23">
        <f>'[2]F 3 _ Criblage et Tri'!C27+'[2]F 3 _ Criblage et Tri'!D27</f>
        <v>5.84</v>
      </c>
      <c r="C63" s="19">
        <f>'[2]F 4 TRI _ Granulo'!K50</f>
        <v>2.0563829787234065</v>
      </c>
      <c r="D63" s="20">
        <f>'[2]F 4 TRI _ Granulo'!H50</f>
        <v>0.28000000000000025</v>
      </c>
      <c r="E63" s="20">
        <f>'[2]F 4 TRI _ Granulo'!E50</f>
        <v>0</v>
      </c>
      <c r="F63" s="19">
        <f>SUM(B63:E63)</f>
        <v>8.1763829787234066</v>
      </c>
      <c r="G63" s="21">
        <f t="shared" si="0"/>
        <v>9.8131670439586663E-2</v>
      </c>
      <c r="H63" s="21">
        <f>J63</f>
        <v>4.8080895082374724E-2</v>
      </c>
      <c r="I63" s="24">
        <f>G63</f>
        <v>9.8131670439586663E-2</v>
      </c>
      <c r="J63" s="24">
        <f>'[2]Calcul sous cat &gt;20'!N20/100</f>
        <v>4.8080895082374724E-2</v>
      </c>
    </row>
    <row r="64" spans="1:10" x14ac:dyDescent="0.25">
      <c r="A64" s="25" t="s">
        <v>25</v>
      </c>
      <c r="B64" s="90">
        <f>B63</f>
        <v>5.84</v>
      </c>
      <c r="C64" s="19">
        <f>SUM(C18:C63)</f>
        <v>37.220531914893641</v>
      </c>
      <c r="D64" s="19">
        <f>SUM(D18:D63)</f>
        <v>39.82</v>
      </c>
      <c r="E64" s="19">
        <f>SUM(E18:E63)</f>
        <v>0.44</v>
      </c>
      <c r="F64" s="19">
        <f>SUM(B64:E64)</f>
        <v>83.32053191489365</v>
      </c>
      <c r="G64" s="21">
        <f t="shared" si="0"/>
        <v>1</v>
      </c>
      <c r="H64" s="21">
        <f>SUM(H18:H63)</f>
        <v>1.0000000000000002</v>
      </c>
      <c r="I64" s="24">
        <f>SUM(I18:I63)</f>
        <v>1</v>
      </c>
      <c r="J64" s="24">
        <f>SUM(J18:J63)</f>
        <v>0.99999999999999989</v>
      </c>
    </row>
    <row r="65" spans="1:10" ht="51.75" x14ac:dyDescent="0.25">
      <c r="A65" s="26" t="s">
        <v>75</v>
      </c>
      <c r="B65" s="235">
        <f>B64/$F$64</f>
        <v>7.0090767134866214E-2</v>
      </c>
      <c r="C65" s="235">
        <f>C64/$F$64</f>
        <v>0.4467150060073059</v>
      </c>
      <c r="D65" s="235">
        <f>D64/$F$64</f>
        <v>0.47791341563533785</v>
      </c>
      <c r="E65" s="235">
        <f>E64/$F$64</f>
        <v>5.2808112224899213E-3</v>
      </c>
      <c r="F65" s="235">
        <f>F64/$F$64</f>
        <v>1</v>
      </c>
      <c r="G65" s="1"/>
      <c r="H65" s="1"/>
      <c r="I65" s="1"/>
      <c r="J65" s="1"/>
    </row>
  </sheetData>
  <mergeCells count="40">
    <mergeCell ref="A31:A34"/>
    <mergeCell ref="I31:I34"/>
    <mergeCell ref="J31:J34"/>
    <mergeCell ref="A36:A37"/>
    <mergeCell ref="I36:I37"/>
    <mergeCell ref="J36:J37"/>
    <mergeCell ref="A38:A42"/>
    <mergeCell ref="I38:I42"/>
    <mergeCell ref="J38:J42"/>
    <mergeCell ref="A44:A45"/>
    <mergeCell ref="I44:I45"/>
    <mergeCell ref="J44:J45"/>
    <mergeCell ref="A46:A51"/>
    <mergeCell ref="I46:I51"/>
    <mergeCell ref="J46:J51"/>
    <mergeCell ref="A53:A62"/>
    <mergeCell ref="I53:I62"/>
    <mergeCell ref="J53:J62"/>
    <mergeCell ref="A28:A30"/>
    <mergeCell ref="I28:I30"/>
    <mergeCell ref="J28:J30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P26" sqref="P26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336" t="str">
        <f>'[3]F 1 _ Echant et Séchage'!D5</f>
        <v>IVR-A15-PB-BAN</v>
      </c>
      <c r="C2" s="336"/>
      <c r="D2" s="336"/>
      <c r="E2" s="336"/>
      <c r="F2" s="336"/>
      <c r="G2" s="2"/>
      <c r="H2" s="2"/>
      <c r="I2" s="2"/>
      <c r="J2" s="2"/>
    </row>
    <row r="3" spans="1:10" s="1" customFormat="1" ht="12.75" x14ac:dyDescent="0.2">
      <c r="A3" s="1" t="s">
        <v>1</v>
      </c>
      <c r="B3" s="343" t="str">
        <f>'[3]F 1 _ Echant et Séchage'!D6</f>
        <v>AL 445 MH - Vincennes Déchets Industriels et Commerciaux</v>
      </c>
      <c r="C3" s="343"/>
      <c r="D3" s="343"/>
      <c r="E3" s="343"/>
      <c r="F3" s="343"/>
      <c r="G3" s="3"/>
      <c r="H3" s="3"/>
      <c r="I3" s="3"/>
      <c r="J3" s="3"/>
    </row>
    <row r="4" spans="1:10" s="1" customFormat="1" ht="12.75" x14ac:dyDescent="0.2">
      <c r="A4" s="1" t="s">
        <v>2</v>
      </c>
      <c r="B4" s="250"/>
      <c r="C4" s="250" t="str">
        <f>'[3]F 1 _ Echant et Séchage'!D8</f>
        <v>IVRY</v>
      </c>
      <c r="D4" s="250"/>
      <c r="E4" s="250"/>
      <c r="F4" s="250"/>
      <c r="G4" s="3"/>
      <c r="H4" s="3"/>
      <c r="I4" s="3"/>
      <c r="J4" s="3"/>
    </row>
    <row r="5" spans="1:10" s="1" customFormat="1" ht="12.75" x14ac:dyDescent="0.2">
      <c r="A5" s="1" t="s">
        <v>3</v>
      </c>
      <c r="B5" s="250"/>
      <c r="C5" s="250" t="str">
        <f>'[3]F 1 _ Echant et Séchage'!E15</f>
        <v>sec, soirée</v>
      </c>
      <c r="D5" s="250"/>
      <c r="E5" s="250"/>
      <c r="F5" s="250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'[3]F 1 _ Echant et Séchage'!B12</f>
        <v>42270</v>
      </c>
      <c r="D9" s="337" t="s">
        <v>6</v>
      </c>
      <c r="E9" s="337"/>
      <c r="F9" s="337"/>
      <c r="G9" s="6">
        <f>'[3]F 1 _ Echant et Séchage'!G19</f>
        <v>130.19999999999999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'[3]F 1 _ Echant et Séchage'!E12</f>
        <v>22H30</v>
      </c>
      <c r="D10" s="337" t="s">
        <v>9</v>
      </c>
      <c r="E10" s="337"/>
      <c r="F10" s="337"/>
      <c r="G10" s="250">
        <f>'[3]F 1 _ Echant et Séchage'!H26</f>
        <v>0.4</v>
      </c>
      <c r="H10" s="250"/>
      <c r="I10" s="9"/>
      <c r="J10" s="1" t="s">
        <v>10</v>
      </c>
    </row>
    <row r="11" spans="1:10" s="1" customFormat="1" ht="12.75" x14ac:dyDescent="0.2">
      <c r="B11" s="337"/>
      <c r="C11" s="337"/>
      <c r="D11" s="337" t="s">
        <v>11</v>
      </c>
      <c r="E11" s="337"/>
      <c r="F11" s="337"/>
      <c r="G11" s="10">
        <f>G9/1000/G10</f>
        <v>0.32549999999999996</v>
      </c>
      <c r="H11" s="10"/>
      <c r="I11" s="3"/>
      <c r="J11" s="3" t="s">
        <v>12</v>
      </c>
    </row>
    <row r="12" spans="1:10" s="1" customFormat="1" ht="12.75" x14ac:dyDescent="0.2">
      <c r="B12" s="7"/>
      <c r="D12" s="337" t="s">
        <v>13</v>
      </c>
      <c r="E12" s="337"/>
      <c r="F12" s="337"/>
      <c r="G12" s="236">
        <f>'[3]F 1 _ Echant et Séchage'!D51</f>
        <v>0.40337941628264201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s="1" customFormat="1" ht="15" customHeight="1" x14ac:dyDescent="0.2">
      <c r="A18" s="349" t="s">
        <v>26</v>
      </c>
      <c r="B18" s="18" t="s">
        <v>119</v>
      </c>
      <c r="C18" s="19">
        <f>'[3]F 4 TRI _ Granulo'!K5</f>
        <v>2.3177000000000008</v>
      </c>
      <c r="D18" s="20">
        <f>'[3]F 4 TRI _ Granulo'!H5</f>
        <v>0.49000000000000021</v>
      </c>
      <c r="E18" s="20">
        <f>'[3]F 4 TRI _ Granulo'!E5</f>
        <v>0</v>
      </c>
      <c r="F18" s="20">
        <f>SUM(C18:E18)</f>
        <v>2.807700000000001</v>
      </c>
      <c r="G18" s="21">
        <f t="shared" ref="G18:G64" si="0">F18/$F$64</f>
        <v>3.4982295173472421E-2</v>
      </c>
      <c r="H18" s="21">
        <f>G18*J18/I18</f>
        <v>6.8492058795716793E-2</v>
      </c>
      <c r="I18" s="344">
        <f>G18+G19+G20+G21+G22</f>
        <v>0.17846490058633999</v>
      </c>
      <c r="J18" s="344">
        <f>'[3]Calcul sous cat &gt;20'!N8/100</f>
        <v>0.34941756689539782</v>
      </c>
    </row>
    <row r="19" spans="1:10" s="1" customFormat="1" ht="15" customHeight="1" x14ac:dyDescent="0.2">
      <c r="A19" s="350"/>
      <c r="B19" s="18" t="s">
        <v>27</v>
      </c>
      <c r="C19" s="19">
        <f>'[3]F 4 TRI _ Granulo'!K6</f>
        <v>7.3842999999999996</v>
      </c>
      <c r="D19" s="20">
        <f>'[3]F 4 TRI _ Granulo'!H6</f>
        <v>3.93</v>
      </c>
      <c r="E19" s="20">
        <f>'[3]F 4 TRI _ Granulo'!E6</f>
        <v>0</v>
      </c>
      <c r="F19" s="20">
        <f>SUM(C19:E19)</f>
        <v>11.314299999999999</v>
      </c>
      <c r="G19" s="21">
        <f t="shared" si="0"/>
        <v>0.14096954171785406</v>
      </c>
      <c r="H19" s="21">
        <f>G19*J18/I18</f>
        <v>0.27600516466587538</v>
      </c>
      <c r="I19" s="344"/>
      <c r="J19" s="344"/>
    </row>
    <row r="20" spans="1:10" s="1" customFormat="1" ht="15" customHeight="1" x14ac:dyDescent="0.2">
      <c r="A20" s="350"/>
      <c r="B20" s="18" t="s">
        <v>28</v>
      </c>
      <c r="C20" s="19">
        <f>'[3]F 4 TRI _ Granulo'!K7</f>
        <v>0</v>
      </c>
      <c r="D20" s="20">
        <f>'[3]F 4 TRI _ Granulo'!H7</f>
        <v>0</v>
      </c>
      <c r="E20" s="20">
        <f>'[3]F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s="1" customFormat="1" ht="15" customHeight="1" x14ac:dyDescent="0.2">
      <c r="A21" s="350"/>
      <c r="B21" s="18" t="s">
        <v>29</v>
      </c>
      <c r="C21" s="19">
        <f>'[3]F 4 TRI _ Granulo'!K8</f>
        <v>0.16170000000000012</v>
      </c>
      <c r="D21" s="20">
        <f>'[3]F 4 TRI _ Granulo'!H8</f>
        <v>3.0000000000000027E-2</v>
      </c>
      <c r="E21" s="20">
        <f>'[3]F 4 TRI _ Granulo'!E8</f>
        <v>0</v>
      </c>
      <c r="F21" s="20">
        <f t="shared" si="1"/>
        <v>0.19170000000000015</v>
      </c>
      <c r="G21" s="21">
        <f t="shared" si="0"/>
        <v>2.3884695604069759E-3</v>
      </c>
      <c r="H21" s="21">
        <f>G21*J18/I18</f>
        <v>4.6763997831459616E-3</v>
      </c>
      <c r="I21" s="344"/>
      <c r="J21" s="344"/>
    </row>
    <row r="22" spans="1:10" s="1" customFormat="1" ht="15" customHeight="1" x14ac:dyDescent="0.2">
      <c r="A22" s="351"/>
      <c r="B22" s="18" t="s">
        <v>30</v>
      </c>
      <c r="C22" s="19">
        <f>'[3]F 4 TRI _ Granulo'!K9</f>
        <v>0</v>
      </c>
      <c r="D22" s="20">
        <f>'[3]F 4 TRI _ Granulo'!H9</f>
        <v>1.0000000000000009E-2</v>
      </c>
      <c r="E22" s="20">
        <f>'[3]F 4 TRI _ Granulo'!E9</f>
        <v>0</v>
      </c>
      <c r="F22" s="20">
        <f t="shared" si="1"/>
        <v>1.0000000000000009E-2</v>
      </c>
      <c r="G22" s="21">
        <f t="shared" si="0"/>
        <v>1.2459413460651935E-4</v>
      </c>
      <c r="H22" s="21">
        <f>G22*J18/I18</f>
        <v>2.439436506596746E-4</v>
      </c>
      <c r="I22" s="344"/>
      <c r="J22" s="344"/>
    </row>
    <row r="23" spans="1:10" s="1" customFormat="1" ht="15" customHeight="1" x14ac:dyDescent="0.2">
      <c r="A23" s="345" t="s">
        <v>31</v>
      </c>
      <c r="B23" s="18" t="s">
        <v>32</v>
      </c>
      <c r="C23" s="19">
        <f>'[3]F 4 TRI _ Granulo'!K10</f>
        <v>0</v>
      </c>
      <c r="D23" s="20">
        <f>'[3]F 4 TRI _ Granulo'!H10</f>
        <v>0.41000000000000014</v>
      </c>
      <c r="E23" s="20">
        <f>'[3]F 4 TRI _ Granulo'!E10</f>
        <v>0</v>
      </c>
      <c r="F23" s="20">
        <f t="shared" si="1"/>
        <v>0.41000000000000014</v>
      </c>
      <c r="G23" s="21">
        <f t="shared" si="0"/>
        <v>5.108359518867291E-3</v>
      </c>
      <c r="H23" s="21">
        <f>'[3]Calcul sous cat &gt;20'!N32/100</f>
        <v>4.1972878151449403E-3</v>
      </c>
      <c r="I23" s="348">
        <f>G23+G24+G25+G26+G27</f>
        <v>6.3642683957010046E-2</v>
      </c>
      <c r="J23" s="348">
        <f>'[3]Calcul sous cat &gt;20'!N9/100</f>
        <v>5.1053135147769907E-2</v>
      </c>
    </row>
    <row r="24" spans="1:10" s="1" customFormat="1" ht="15" customHeight="1" x14ac:dyDescent="0.2">
      <c r="A24" s="346"/>
      <c r="B24" s="18" t="s">
        <v>33</v>
      </c>
      <c r="C24" s="19">
        <f>'[3]F 4 TRI _ Granulo'!K11</f>
        <v>0</v>
      </c>
      <c r="D24" s="20">
        <f>'[3]F 4 TRI _ Granulo'!H11</f>
        <v>0.83000000000000007</v>
      </c>
      <c r="E24" s="20">
        <f>'[3]F 4 TRI _ Granulo'!E11</f>
        <v>0</v>
      </c>
      <c r="F24" s="20">
        <f t="shared" si="1"/>
        <v>0.83000000000000007</v>
      </c>
      <c r="G24" s="21">
        <f t="shared" si="0"/>
        <v>1.0341313172341098E-2</v>
      </c>
      <c r="H24" s="21">
        <f>'[3]Calcul sous cat &gt;20'!N33/100</f>
        <v>8.2154238491755922E-3</v>
      </c>
      <c r="I24" s="348"/>
      <c r="J24" s="348"/>
    </row>
    <row r="25" spans="1:10" s="1" customFormat="1" ht="15" customHeight="1" x14ac:dyDescent="0.2">
      <c r="A25" s="346"/>
      <c r="B25" s="18" t="s">
        <v>34</v>
      </c>
      <c r="C25" s="19">
        <f>'[3]F 4 TRI _ Granulo'!K12</f>
        <v>0.16170000000000012</v>
      </c>
      <c r="D25" s="20">
        <f>'[3]F 4 TRI _ Granulo'!H12</f>
        <v>2.27</v>
      </c>
      <c r="E25" s="20">
        <f>'[3]F 4 TRI _ Granulo'!E12</f>
        <v>0</v>
      </c>
      <c r="F25" s="20">
        <f t="shared" si="1"/>
        <v>2.4317000000000002</v>
      </c>
      <c r="G25" s="21">
        <f t="shared" si="0"/>
        <v>3.0297555712267287E-2</v>
      </c>
      <c r="H25" s="21">
        <f>'[3]Calcul sous cat &gt;20'!N34/100</f>
        <v>2.4069212257879863E-2</v>
      </c>
      <c r="I25" s="348"/>
      <c r="J25" s="348"/>
    </row>
    <row r="26" spans="1:10" s="1" customFormat="1" ht="15" customHeight="1" x14ac:dyDescent="0.2">
      <c r="A26" s="346"/>
      <c r="B26" s="18" t="s">
        <v>35</v>
      </c>
      <c r="C26" s="19">
        <f>'[3]F 4 TRI _ Granulo'!K13</f>
        <v>0</v>
      </c>
      <c r="D26" s="20">
        <f>'[3]F 4 TRI _ Granulo'!H13</f>
        <v>0.43000000000000016</v>
      </c>
      <c r="E26" s="20">
        <f>'[3]F 4 TRI _ Granulo'!E13</f>
        <v>0</v>
      </c>
      <c r="F26" s="20">
        <f t="shared" si="1"/>
        <v>0.43000000000000016</v>
      </c>
      <c r="G26" s="21">
        <f t="shared" si="0"/>
        <v>5.35754778808033E-3</v>
      </c>
      <c r="H26" s="21">
        <f>'[3]Calcul sous cat &gt;20'!N35/100</f>
        <v>4.2984625303354755E-3</v>
      </c>
      <c r="I26" s="348"/>
      <c r="J26" s="348"/>
    </row>
    <row r="27" spans="1:10" s="1" customFormat="1" ht="15" customHeight="1" x14ac:dyDescent="0.2">
      <c r="A27" s="347"/>
      <c r="B27" s="18" t="s">
        <v>36</v>
      </c>
      <c r="C27" s="19">
        <f>'[3]F 4 TRI _ Granulo'!K14</f>
        <v>0.91630000000000067</v>
      </c>
      <c r="D27" s="20">
        <f>'[3]F 4 TRI _ Granulo'!H14</f>
        <v>9.000000000000008E-2</v>
      </c>
      <c r="E27" s="20">
        <f>'[3]F 4 TRI _ Granulo'!E14</f>
        <v>0</v>
      </c>
      <c r="F27" s="20">
        <f t="shared" si="1"/>
        <v>1.0063000000000009</v>
      </c>
      <c r="G27" s="21">
        <f t="shared" si="0"/>
        <v>1.2537907765454043E-2</v>
      </c>
      <c r="H27" s="21">
        <f>'[3]Calcul sous cat &gt;20'!N36/100</f>
        <v>1.0272748695234042E-2</v>
      </c>
      <c r="I27" s="348"/>
      <c r="J27" s="348"/>
    </row>
    <row r="28" spans="1:10" s="1" customFormat="1" ht="15" customHeight="1" x14ac:dyDescent="0.2">
      <c r="A28" s="345" t="s">
        <v>37</v>
      </c>
      <c r="B28" s="18" t="s">
        <v>38</v>
      </c>
      <c r="C28" s="19">
        <f>'[3]F 4 TRI _ Granulo'!K15</f>
        <v>0.3773000000000003</v>
      </c>
      <c r="D28" s="20">
        <f>'[3]F 4 TRI _ Granulo'!H15</f>
        <v>0.27</v>
      </c>
      <c r="E28" s="20">
        <f>'[3]F 4 TRI _ Granulo'!E15</f>
        <v>0</v>
      </c>
      <c r="F28" s="20">
        <f t="shared" si="1"/>
        <v>0.64730000000000032</v>
      </c>
      <c r="G28" s="21">
        <f t="shared" si="0"/>
        <v>8.0649783330799946E-3</v>
      </c>
      <c r="H28" s="21">
        <f>'[3]Calcul sous cat &gt;20'!N37/100</f>
        <v>6.4533893620925707E-3</v>
      </c>
      <c r="I28" s="348">
        <f>G28+G29+G30</f>
        <v>0.15737609736284053</v>
      </c>
      <c r="J28" s="348">
        <f>'[3]Calcul sous cat &gt;20'!N10/100</f>
        <v>0.12625902044351645</v>
      </c>
    </row>
    <row r="29" spans="1:10" s="1" customFormat="1" ht="15" customHeight="1" x14ac:dyDescent="0.2">
      <c r="A29" s="346"/>
      <c r="B29" s="18" t="s">
        <v>39</v>
      </c>
      <c r="C29" s="19">
        <f>'[3]F 4 TRI _ Granulo'!K16</f>
        <v>1.2396999999999998</v>
      </c>
      <c r="D29" s="20">
        <f>'[3]F 4 TRI _ Granulo'!H16</f>
        <v>1.63</v>
      </c>
      <c r="E29" s="20">
        <f>'[3]F 4 TRI _ Granulo'!E16</f>
        <v>7.9599999999999991</v>
      </c>
      <c r="F29" s="20">
        <f t="shared" si="1"/>
        <v>10.829699999999999</v>
      </c>
      <c r="G29" s="21">
        <f t="shared" si="0"/>
        <v>0.13493170995482215</v>
      </c>
      <c r="H29" s="21">
        <f>'[3]Calcul sous cat &gt;20'!N38/100</f>
        <v>0.10805526197621974</v>
      </c>
      <c r="I29" s="348"/>
      <c r="J29" s="348"/>
    </row>
    <row r="30" spans="1:10" s="1" customFormat="1" ht="15" customHeight="1" x14ac:dyDescent="0.2">
      <c r="A30" s="347"/>
      <c r="B30" s="18" t="s">
        <v>40</v>
      </c>
      <c r="C30" s="19">
        <f>'[3]F 4 TRI _ Granulo'!K17</f>
        <v>1.0241000000000009</v>
      </c>
      <c r="D30" s="20">
        <f>'[3]F 4 TRI _ Granulo'!H17</f>
        <v>0.13000000000000012</v>
      </c>
      <c r="E30" s="20">
        <f>'[3]F 4 TRI _ Granulo'!E17</f>
        <v>0</v>
      </c>
      <c r="F30" s="20">
        <f t="shared" si="1"/>
        <v>1.154100000000001</v>
      </c>
      <c r="G30" s="21">
        <f t="shared" si="0"/>
        <v>1.4379409074938398E-2</v>
      </c>
      <c r="H30" s="21">
        <f>'[3]Calcul sous cat &gt;20'!N39/100</f>
        <v>1.1750369105204132E-2</v>
      </c>
      <c r="I30" s="348"/>
      <c r="J30" s="348"/>
    </row>
    <row r="31" spans="1:10" s="1" customFormat="1" ht="15" customHeight="1" x14ac:dyDescent="0.2">
      <c r="A31" s="352" t="s">
        <v>41</v>
      </c>
      <c r="B31" s="18" t="s">
        <v>42</v>
      </c>
      <c r="C31" s="19">
        <f>'[3]F 4 TRI _ Granulo'!K18</f>
        <v>0</v>
      </c>
      <c r="D31" s="20">
        <f>'[3]F 4 TRI _ Granulo'!H18</f>
        <v>0.35000000000000009</v>
      </c>
      <c r="E31" s="20">
        <f>'[3]F 4 TRI _ Granulo'!E18</f>
        <v>0</v>
      </c>
      <c r="F31" s="20">
        <f t="shared" si="1"/>
        <v>0.35000000000000009</v>
      </c>
      <c r="G31" s="21">
        <f t="shared" si="0"/>
        <v>4.3607947112281747E-3</v>
      </c>
      <c r="H31" s="241">
        <f>G31*J31/I31</f>
        <v>4.4038418497306343E-3</v>
      </c>
      <c r="I31" s="355">
        <f>G31+G32+G33+G34</f>
        <v>2.2824399518568277E-2</v>
      </c>
      <c r="J31" s="355">
        <f>'[3]Calcul sous cat &gt;20'!N11/100</f>
        <v>2.3049708241490149E-2</v>
      </c>
    </row>
    <row r="32" spans="1:10" s="1" customFormat="1" ht="15" customHeight="1" x14ac:dyDescent="0.2">
      <c r="A32" s="353"/>
      <c r="B32" s="18" t="s">
        <v>43</v>
      </c>
      <c r="C32" s="19">
        <f>'[3]F 4 TRI _ Granulo'!K19</f>
        <v>1.131900000000001</v>
      </c>
      <c r="D32" s="20">
        <f>'[3]F 4 TRI _ Granulo'!H19</f>
        <v>0.35000000000000009</v>
      </c>
      <c r="E32" s="20">
        <f>'[3]F 4 TRI _ Granulo'!E19</f>
        <v>0</v>
      </c>
      <c r="F32" s="20">
        <f t="shared" si="1"/>
        <v>1.4819000000000011</v>
      </c>
      <c r="G32" s="21">
        <f t="shared" si="0"/>
        <v>1.8463604807340103E-2</v>
      </c>
      <c r="H32" s="241">
        <f>G32*J31/I31</f>
        <v>1.8645866391759514E-2</v>
      </c>
      <c r="I32" s="356"/>
      <c r="J32" s="356"/>
    </row>
    <row r="33" spans="1:10" s="1" customFormat="1" ht="15" customHeight="1" x14ac:dyDescent="0.2">
      <c r="A33" s="353"/>
      <c r="B33" s="18" t="s">
        <v>44</v>
      </c>
      <c r="C33" s="19">
        <f>'[3]F 4 TRI _ Granulo'!K20</f>
        <v>0</v>
      </c>
      <c r="D33" s="20">
        <f>'[3]F 4 TRI _ Granulo'!H20</f>
        <v>0</v>
      </c>
      <c r="E33" s="20">
        <f>'[3]F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356"/>
      <c r="J33" s="356"/>
    </row>
    <row r="34" spans="1:10" s="1" customFormat="1" ht="15" customHeight="1" x14ac:dyDescent="0.2">
      <c r="A34" s="354"/>
      <c r="B34" s="18" t="s">
        <v>120</v>
      </c>
      <c r="C34" s="19">
        <f>'[3]F 4 TRI _ Granulo'!K21</f>
        <v>0</v>
      </c>
      <c r="D34" s="20">
        <f>'[3]F 4 TRI _ Granulo'!H21</f>
        <v>0</v>
      </c>
      <c r="E34" s="20">
        <f>'[3]F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357"/>
      <c r="J34" s="357"/>
    </row>
    <row r="35" spans="1:10" s="1" customFormat="1" ht="15" customHeight="1" x14ac:dyDescent="0.2">
      <c r="A35" s="251" t="s">
        <v>45</v>
      </c>
      <c r="B35" s="18" t="s">
        <v>46</v>
      </c>
      <c r="C35" s="19">
        <f>'[3]F 4 TRI _ Granulo'!K22</f>
        <v>0.26950000000000024</v>
      </c>
      <c r="D35" s="20">
        <f>'[3]F 4 TRI _ Granulo'!H22</f>
        <v>0</v>
      </c>
      <c r="E35" s="20">
        <f>'[3]F 4 TRI _ Granulo'!E22</f>
        <v>0</v>
      </c>
      <c r="F35" s="20">
        <f t="shared" si="1"/>
        <v>0.26950000000000024</v>
      </c>
      <c r="G35" s="21">
        <f t="shared" si="0"/>
        <v>3.3578119276456968E-3</v>
      </c>
      <c r="H35" s="21">
        <f>'[3]Calcul sous cat &gt;20'!N43/100</f>
        <v>2.6917940804430745E-3</v>
      </c>
      <c r="I35" s="252">
        <f>G35</f>
        <v>3.3578119276456968E-3</v>
      </c>
      <c r="J35" s="252">
        <f>'[3]Calcul sous cat &gt;20'!N12/100</f>
        <v>2.6917940804430745E-3</v>
      </c>
    </row>
    <row r="36" spans="1:10" s="1" customFormat="1" ht="15" customHeight="1" x14ac:dyDescent="0.2">
      <c r="A36" s="345" t="s">
        <v>47</v>
      </c>
      <c r="B36" s="18" t="s">
        <v>48</v>
      </c>
      <c r="C36" s="19">
        <f>'[3]F 4 TRI _ Granulo'!K23</f>
        <v>5.0127000000000006</v>
      </c>
      <c r="D36" s="20">
        <f>'[3]F 4 TRI _ Granulo'!H23</f>
        <v>1.0000000000000009E-2</v>
      </c>
      <c r="E36" s="20">
        <f>'[3]F 4 TRI _ Granulo'!E23</f>
        <v>0</v>
      </c>
      <c r="F36" s="20">
        <f t="shared" si="1"/>
        <v>5.0227000000000004</v>
      </c>
      <c r="G36" s="21">
        <f t="shared" si="0"/>
        <v>6.2579895988816428E-2</v>
      </c>
      <c r="H36" s="21">
        <f>'[3]Calcul sous cat &gt;20'!N44/100</f>
        <v>5.1984508467743058E-2</v>
      </c>
      <c r="I36" s="348">
        <f>G36+G37</f>
        <v>0.16737477666501371</v>
      </c>
      <c r="J36" s="348">
        <f>'[3]Calcul sous cat &gt;20'!N13/100</f>
        <v>0.13789902139323973</v>
      </c>
    </row>
    <row r="37" spans="1:10" s="1" customFormat="1" ht="15" customHeight="1" x14ac:dyDescent="0.2">
      <c r="A37" s="347"/>
      <c r="B37" s="18" t="s">
        <v>49</v>
      </c>
      <c r="C37" s="19">
        <f>'[3]F 4 TRI _ Granulo'!K24</f>
        <v>7.0609000000000002</v>
      </c>
      <c r="D37" s="20">
        <f>'[3]F 4 TRI _ Granulo'!H24</f>
        <v>1.35</v>
      </c>
      <c r="E37" s="20">
        <f>'[3]F 4 TRI _ Granulo'!E24</f>
        <v>0</v>
      </c>
      <c r="F37" s="20">
        <f t="shared" si="1"/>
        <v>8.4108999999999998</v>
      </c>
      <c r="G37" s="21">
        <f t="shared" si="0"/>
        <v>0.10479488067619727</v>
      </c>
      <c r="H37" s="21">
        <f>'[3]Calcul sous cat &gt;20'!N45/100</f>
        <v>8.5914512925496692E-2</v>
      </c>
      <c r="I37" s="348"/>
      <c r="J37" s="348"/>
    </row>
    <row r="38" spans="1:10" s="1" customFormat="1" ht="15" customHeight="1" x14ac:dyDescent="0.2">
      <c r="A38" s="345" t="s">
        <v>50</v>
      </c>
      <c r="B38" s="18" t="s">
        <v>51</v>
      </c>
      <c r="C38" s="19">
        <f>'[3]F 4 TRI _ Granulo'!K25</f>
        <v>0.70070000000000066</v>
      </c>
      <c r="D38" s="20">
        <f>'[3]F 4 TRI _ Granulo'!H25</f>
        <v>6.01</v>
      </c>
      <c r="E38" s="20">
        <f>'[3]F 4 TRI _ Granulo'!E25</f>
        <v>0</v>
      </c>
      <c r="F38" s="20">
        <f t="shared" si="1"/>
        <v>6.7107000000000001</v>
      </c>
      <c r="G38" s="21">
        <f t="shared" si="0"/>
        <v>8.3611385910396865E-2</v>
      </c>
      <c r="H38" s="21">
        <f>'[3]Calcul sous cat &gt;20'!N46/100</f>
        <v>7.6392626748975206E-2</v>
      </c>
      <c r="I38" s="348">
        <f>G38+G39+G40+G41+G42</f>
        <v>0.15054709284505724</v>
      </c>
      <c r="J38" s="348">
        <f>'[3]Calcul sous cat &gt;20'!N14/100</f>
        <v>0.13615990838986267</v>
      </c>
    </row>
    <row r="39" spans="1:10" s="1" customFormat="1" ht="15" customHeight="1" x14ac:dyDescent="0.2">
      <c r="A39" s="346"/>
      <c r="B39" s="18" t="s">
        <v>52</v>
      </c>
      <c r="C39" s="19">
        <f>'[3]F 4 TRI _ Granulo'!K26</f>
        <v>0.70070000000000066</v>
      </c>
      <c r="D39" s="20">
        <f>'[3]F 4 TRI _ Granulo'!H26</f>
        <v>0.43000000000000016</v>
      </c>
      <c r="E39" s="20">
        <f>'[3]F 4 TRI _ Granulo'!E26</f>
        <v>0</v>
      </c>
      <c r="F39" s="20">
        <f t="shared" si="1"/>
        <v>1.1307000000000009</v>
      </c>
      <c r="G39" s="21">
        <f t="shared" si="0"/>
        <v>1.4087858799959142E-2</v>
      </c>
      <c r="H39" s="21">
        <f>'[3]Calcul sous cat &gt;20'!N47/100</f>
        <v>1.150508259663529E-2</v>
      </c>
      <c r="I39" s="348"/>
      <c r="J39" s="348"/>
    </row>
    <row r="40" spans="1:10" s="1" customFormat="1" ht="15" customHeight="1" x14ac:dyDescent="0.2">
      <c r="A40" s="346"/>
      <c r="B40" s="18" t="s">
        <v>53</v>
      </c>
      <c r="C40" s="19">
        <f>'[3]F 4 TRI _ Granulo'!K27</f>
        <v>0</v>
      </c>
      <c r="D40" s="20">
        <f>'[3]F 4 TRI _ Granulo'!H27</f>
        <v>0</v>
      </c>
      <c r="E40" s="20">
        <f>'[3]F 4 TRI _ Granulo'!E27</f>
        <v>0</v>
      </c>
      <c r="F40" s="20">
        <f t="shared" si="1"/>
        <v>0</v>
      </c>
      <c r="G40" s="21">
        <f t="shared" si="0"/>
        <v>0</v>
      </c>
      <c r="H40" s="21">
        <f>'[3]Calcul sous cat &gt;20'!N48/100</f>
        <v>0</v>
      </c>
      <c r="I40" s="348"/>
      <c r="J40" s="348"/>
    </row>
    <row r="41" spans="1:10" s="1" customFormat="1" ht="15" customHeight="1" x14ac:dyDescent="0.2">
      <c r="A41" s="346"/>
      <c r="B41" s="18" t="s">
        <v>54</v>
      </c>
      <c r="C41" s="19">
        <f>'[3]F 4 TRI _ Granulo'!K28</f>
        <v>1.4553</v>
      </c>
      <c r="D41" s="20">
        <f>'[3]F 4 TRI _ Granulo'!H28</f>
        <v>1.48</v>
      </c>
      <c r="E41" s="20">
        <f>'[3]F 4 TRI _ Granulo'!E28</f>
        <v>0</v>
      </c>
      <c r="F41" s="20">
        <f t="shared" si="1"/>
        <v>2.9352999999999998</v>
      </c>
      <c r="G41" s="21">
        <f t="shared" si="0"/>
        <v>3.6572116331051591E-2</v>
      </c>
      <c r="H41" s="21">
        <f>'[3]Calcul sous cat &gt;20'!N49/100</f>
        <v>3.3397666806442856E-2</v>
      </c>
      <c r="I41" s="348"/>
      <c r="J41" s="348"/>
    </row>
    <row r="42" spans="1:10" s="1" customFormat="1" ht="27" customHeight="1" x14ac:dyDescent="0.2">
      <c r="A42" s="347"/>
      <c r="B42" s="18" t="s">
        <v>55</v>
      </c>
      <c r="C42" s="19">
        <f>'[3]F 4 TRI _ Granulo'!K29</f>
        <v>0.91630000000000067</v>
      </c>
      <c r="D42" s="20">
        <f>'[3]F 4 TRI _ Granulo'!H29</f>
        <v>0.21000000000000019</v>
      </c>
      <c r="E42" s="20">
        <f>'[3]F 4 TRI _ Granulo'!E29</f>
        <v>0.18</v>
      </c>
      <c r="F42" s="20">
        <f t="shared" si="1"/>
        <v>1.3063000000000009</v>
      </c>
      <c r="G42" s="21">
        <f t="shared" si="0"/>
        <v>1.6275731803649621E-2</v>
      </c>
      <c r="H42" s="21">
        <f>'[3]Calcul sous cat &gt;20'!N50/100</f>
        <v>1.4864532237809308E-2</v>
      </c>
      <c r="I42" s="348"/>
      <c r="J42" s="348"/>
    </row>
    <row r="43" spans="1:10" s="1" customFormat="1" ht="26.25" customHeight="1" x14ac:dyDescent="0.2">
      <c r="A43" s="251" t="s">
        <v>56</v>
      </c>
      <c r="B43" s="18" t="s">
        <v>56</v>
      </c>
      <c r="C43" s="19">
        <f>'[3]F 4 TRI _ Granulo'!K30</f>
        <v>1.0241000000000009</v>
      </c>
      <c r="D43" s="20">
        <f>'[3]F 4 TRI _ Granulo'!H30</f>
        <v>2.25</v>
      </c>
      <c r="E43" s="20">
        <f>'[3]F 4 TRI _ Granulo'!E30</f>
        <v>0.2</v>
      </c>
      <c r="F43" s="20">
        <f t="shared" si="1"/>
        <v>3.4741000000000009</v>
      </c>
      <c r="G43" s="21">
        <f t="shared" si="0"/>
        <v>4.328524830365086E-2</v>
      </c>
      <c r="H43" s="21">
        <f>J43</f>
        <v>3.5435306556547176E-2</v>
      </c>
      <c r="I43" s="252">
        <f>G43</f>
        <v>4.328524830365086E-2</v>
      </c>
      <c r="J43" s="252">
        <f>'[3]Calcul sous cat &gt;20'!N15/100</f>
        <v>3.5435306556547176E-2</v>
      </c>
    </row>
    <row r="44" spans="1:10" s="1" customFormat="1" ht="15" customHeight="1" x14ac:dyDescent="0.2">
      <c r="A44" s="345" t="s">
        <v>57</v>
      </c>
      <c r="B44" s="18" t="s">
        <v>58</v>
      </c>
      <c r="C44" s="19">
        <f>'[3]F 4 TRI _ Granulo'!K31</f>
        <v>0</v>
      </c>
      <c r="D44" s="20">
        <f>'[3]F 4 TRI _ Granulo'!H31</f>
        <v>1.8900000000000001</v>
      </c>
      <c r="E44" s="20">
        <f>'[3]F 4 TRI _ Granulo'!E31</f>
        <v>0</v>
      </c>
      <c r="F44" s="20">
        <f t="shared" si="1"/>
        <v>1.8900000000000001</v>
      </c>
      <c r="G44" s="21">
        <f t="shared" si="0"/>
        <v>2.3548291440632141E-2</v>
      </c>
      <c r="H44" s="21">
        <f>G44*J44/I44</f>
        <v>1.8857462451974172E-2</v>
      </c>
      <c r="I44" s="348">
        <f>G44+G45</f>
        <v>3.907645843664264E-2</v>
      </c>
      <c r="J44" s="348">
        <f>'[3]Calcul sous cat &gt;20'!N16/100</f>
        <v>3.1292412427580213E-2</v>
      </c>
    </row>
    <row r="45" spans="1:10" s="1" customFormat="1" ht="15" customHeight="1" x14ac:dyDescent="0.2">
      <c r="A45" s="347"/>
      <c r="B45" s="18" t="s">
        <v>59</v>
      </c>
      <c r="C45" s="19">
        <f>'[3]F 4 TRI _ Granulo'!K32</f>
        <v>0.91630000000000067</v>
      </c>
      <c r="D45" s="20">
        <f>'[3]F 4 TRI _ Granulo'!H32</f>
        <v>0.33000000000000007</v>
      </c>
      <c r="E45" s="20">
        <f>'[3]F 4 TRI _ Granulo'!E32</f>
        <v>0</v>
      </c>
      <c r="F45" s="20">
        <f t="shared" si="1"/>
        <v>1.2463000000000006</v>
      </c>
      <c r="G45" s="21">
        <f t="shared" si="0"/>
        <v>1.5528166996010501E-2</v>
      </c>
      <c r="H45" s="21">
        <f>G45*J44/I44</f>
        <v>1.2434949975606041E-2</v>
      </c>
      <c r="I45" s="348"/>
      <c r="J45" s="348"/>
    </row>
    <row r="46" spans="1:10" s="1" customFormat="1" ht="15" customHeight="1" x14ac:dyDescent="0.2">
      <c r="A46" s="345" t="s">
        <v>60</v>
      </c>
      <c r="B46" s="18" t="s">
        <v>61</v>
      </c>
      <c r="C46" s="19">
        <f>'[3]F 4 TRI _ Granulo'!K33</f>
        <v>0.70070000000000066</v>
      </c>
      <c r="D46" s="20">
        <f>'[3]F 4 TRI _ Granulo'!H33</f>
        <v>3.73</v>
      </c>
      <c r="E46" s="20">
        <f>'[3]F 4 TRI _ Granulo'!E33</f>
        <v>0</v>
      </c>
      <c r="F46" s="20">
        <f t="shared" si="1"/>
        <v>4.4307000000000007</v>
      </c>
      <c r="G46" s="21">
        <f t="shared" si="0"/>
        <v>5.5203923220110494E-2</v>
      </c>
      <c r="H46" s="21">
        <f t="shared" ref="H46:H51" si="2">G46*$J$46/$I$46</f>
        <v>4.5643549754360059E-2</v>
      </c>
      <c r="I46" s="348">
        <f>G46+G47+G50+G51+G48+G49</f>
        <v>6.2797935724377835E-2</v>
      </c>
      <c r="J46" s="348">
        <f>'[3]Calcul sous cat &gt;20'!N17/100</f>
        <v>5.1922409432352795E-2</v>
      </c>
    </row>
    <row r="47" spans="1:10" s="1" customFormat="1" ht="15" customHeight="1" x14ac:dyDescent="0.2">
      <c r="A47" s="346"/>
      <c r="B47" s="18" t="s">
        <v>62</v>
      </c>
      <c r="C47" s="19">
        <f>'[3]F 4 TRI _ Granulo'!K34</f>
        <v>0</v>
      </c>
      <c r="D47" s="20">
        <f>'[3]F 4 TRI _ Granulo'!H34</f>
        <v>0</v>
      </c>
      <c r="E47" s="20">
        <f>'[3]F 4 TRI _ Granulo'!E34</f>
        <v>0</v>
      </c>
      <c r="F47" s="20">
        <f t="shared" si="1"/>
        <v>0</v>
      </c>
      <c r="G47" s="21">
        <f t="shared" si="0"/>
        <v>0</v>
      </c>
      <c r="H47" s="21">
        <f t="shared" si="2"/>
        <v>0</v>
      </c>
      <c r="I47" s="348"/>
      <c r="J47" s="348"/>
    </row>
    <row r="48" spans="1:10" s="1" customFormat="1" ht="15" customHeight="1" x14ac:dyDescent="0.2">
      <c r="A48" s="346"/>
      <c r="B48" s="18" t="s">
        <v>63</v>
      </c>
      <c r="C48" s="19">
        <f>'[3]F 4 TRI _ Granulo'!K35</f>
        <v>0</v>
      </c>
      <c r="D48" s="20">
        <f>'[3]F 4 TRI _ Granulo'!H35</f>
        <v>0</v>
      </c>
      <c r="E48" s="20">
        <f>'[3]F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s="1" customFormat="1" ht="15" customHeight="1" x14ac:dyDescent="0.2">
      <c r="A49" s="346"/>
      <c r="B49" s="18" t="s">
        <v>64</v>
      </c>
      <c r="C49" s="19">
        <f>'[3]F 4 TRI _ Granulo'!K36</f>
        <v>0</v>
      </c>
      <c r="D49" s="20">
        <f>'[3]F 4 TRI _ Granulo'!H36</f>
        <v>0</v>
      </c>
      <c r="E49" s="20">
        <f>'[3]F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s="1" customFormat="1" ht="15" customHeight="1" x14ac:dyDescent="0.2">
      <c r="A50" s="346"/>
      <c r="B50" s="18" t="s">
        <v>65</v>
      </c>
      <c r="C50" s="19">
        <f>'[3]F 4 TRI _ Granulo'!K37</f>
        <v>0.26950000000000002</v>
      </c>
      <c r="D50" s="20">
        <f>'[3]F 4 TRI _ Granulo'!H37</f>
        <v>3.0000000000000027E-2</v>
      </c>
      <c r="E50" s="20">
        <f>'[3]F 4 TRI _ Granulo'!E37</f>
        <v>0</v>
      </c>
      <c r="F50" s="20">
        <f t="shared" si="1"/>
        <v>0.29950000000000004</v>
      </c>
      <c r="G50" s="21">
        <f t="shared" si="0"/>
        <v>3.7315943314652519E-3</v>
      </c>
      <c r="H50" s="21">
        <f t="shared" si="2"/>
        <v>3.0853461420161229E-3</v>
      </c>
      <c r="I50" s="348"/>
      <c r="J50" s="348"/>
    </row>
    <row r="51" spans="1:10" s="1" customFormat="1" ht="15" customHeight="1" x14ac:dyDescent="0.2">
      <c r="A51" s="347"/>
      <c r="B51" s="18" t="s">
        <v>66</v>
      </c>
      <c r="C51" s="19">
        <f>'[3]F 4 TRI _ Granulo'!K38</f>
        <v>0</v>
      </c>
      <c r="D51" s="20">
        <f>'[3]F 4 TRI _ Granulo'!H38</f>
        <v>0.31000000000000005</v>
      </c>
      <c r="E51" s="20">
        <f>'[3]F 4 TRI _ Granulo'!E38</f>
        <v>0</v>
      </c>
      <c r="F51" s="20">
        <f t="shared" si="1"/>
        <v>0.31000000000000005</v>
      </c>
      <c r="G51" s="21">
        <f t="shared" si="0"/>
        <v>3.8624181728020971E-3</v>
      </c>
      <c r="H51" s="21">
        <f t="shared" si="2"/>
        <v>3.1935135359766214E-3</v>
      </c>
      <c r="I51" s="348"/>
      <c r="J51" s="348"/>
    </row>
    <row r="52" spans="1:10" s="1" customFormat="1" ht="15" customHeight="1" x14ac:dyDescent="0.2">
      <c r="A52" s="253" t="s">
        <v>67</v>
      </c>
      <c r="B52" s="18" t="s">
        <v>68</v>
      </c>
      <c r="C52" s="19">
        <f>'[3]F 4 TRI _ Granulo'!K39</f>
        <v>0</v>
      </c>
      <c r="D52" s="20">
        <f>'[3]F 4 TRI _ Granulo'!H39</f>
        <v>0</v>
      </c>
      <c r="E52" s="20">
        <f>'[3]F 4 TRI _ Granulo'!E39</f>
        <v>0</v>
      </c>
      <c r="F52" s="20">
        <f t="shared" si="1"/>
        <v>0</v>
      </c>
      <c r="G52" s="21">
        <f t="shared" si="0"/>
        <v>0</v>
      </c>
      <c r="H52" s="21">
        <f>J52</f>
        <v>0</v>
      </c>
      <c r="I52" s="254">
        <f>G52</f>
        <v>0</v>
      </c>
      <c r="J52" s="254">
        <f>'[3]Calcul sous cat &gt;20'!N18/100</f>
        <v>0</v>
      </c>
    </row>
    <row r="53" spans="1:10" s="1" customFormat="1" ht="15" customHeight="1" x14ac:dyDescent="0.2">
      <c r="A53" s="345" t="s">
        <v>69</v>
      </c>
      <c r="B53" s="18" t="s">
        <v>121</v>
      </c>
      <c r="C53" s="19">
        <f>'[3]F 4 TRI _ Granulo'!K40</f>
        <v>0</v>
      </c>
      <c r="D53" s="20">
        <f>'[3]F 4 TRI _ Granulo'!H40</f>
        <v>8.0000000000000071E-2</v>
      </c>
      <c r="E53" s="20">
        <f>'[3]F 4 TRI _ Granulo'!E40</f>
        <v>0</v>
      </c>
      <c r="F53" s="20">
        <f t="shared" si="1"/>
        <v>8.0000000000000071E-2</v>
      </c>
      <c r="G53" s="21">
        <f t="shared" si="0"/>
        <v>9.9675307685215481E-4</v>
      </c>
      <c r="H53" s="241">
        <f>G53*J53/I53</f>
        <v>8.1503737845973817E-4</v>
      </c>
      <c r="I53" s="348">
        <f>SUM(G53:G62)</f>
        <v>9.9675307685215481E-4</v>
      </c>
      <c r="J53" s="348">
        <f>'[3]Calcul sous cat &gt;20'!N19/100</f>
        <v>8.1503737845973817E-4</v>
      </c>
    </row>
    <row r="54" spans="1:10" s="1" customFormat="1" ht="15" customHeight="1" x14ac:dyDescent="0.2">
      <c r="A54" s="346"/>
      <c r="B54" s="18" t="s">
        <v>70</v>
      </c>
      <c r="C54" s="19">
        <f>'[3]F 4 TRI _ Granulo'!K41</f>
        <v>0</v>
      </c>
      <c r="D54" s="20">
        <f>'[3]F 4 TRI _ Granulo'!H41</f>
        <v>0</v>
      </c>
      <c r="E54" s="20">
        <f>'[3]F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348"/>
      <c r="J54" s="348"/>
    </row>
    <row r="55" spans="1:10" s="1" customFormat="1" ht="15" customHeight="1" x14ac:dyDescent="0.2">
      <c r="A55" s="346"/>
      <c r="B55" s="18" t="s">
        <v>71</v>
      </c>
      <c r="C55" s="19">
        <f>'[3]F 4 TRI _ Granulo'!K42</f>
        <v>0</v>
      </c>
      <c r="D55" s="20">
        <f>'[3]F 4 TRI _ Granulo'!H42</f>
        <v>0</v>
      </c>
      <c r="E55" s="20">
        <f>'[3]F 4 TRI _ Granulo'!E42</f>
        <v>0</v>
      </c>
      <c r="F55" s="20">
        <f>SUM(C55:E55)</f>
        <v>0</v>
      </c>
      <c r="G55" s="21">
        <f t="shared" si="0"/>
        <v>0</v>
      </c>
      <c r="H55" s="242">
        <f>G55*J53/I53</f>
        <v>0</v>
      </c>
      <c r="I55" s="348"/>
      <c r="J55" s="348"/>
    </row>
    <row r="56" spans="1:10" s="1" customFormat="1" ht="15" customHeight="1" x14ac:dyDescent="0.2">
      <c r="A56" s="346"/>
      <c r="B56" s="18" t="s">
        <v>72</v>
      </c>
      <c r="C56" s="19">
        <f>'[3]F 4 TRI _ Granulo'!K43</f>
        <v>0</v>
      </c>
      <c r="D56" s="20">
        <f>'[3]F 4 TRI _ Granulo'!H43</f>
        <v>0</v>
      </c>
      <c r="E56" s="20">
        <f>'[3]F 4 TRI _ Granulo'!E43</f>
        <v>0</v>
      </c>
      <c r="F56" s="20">
        <f t="shared" si="1"/>
        <v>0</v>
      </c>
      <c r="G56" s="21">
        <f>F56/$F$64</f>
        <v>0</v>
      </c>
      <c r="H56" s="242">
        <f>G56*J53/I53</f>
        <v>0</v>
      </c>
      <c r="I56" s="348"/>
      <c r="J56" s="348"/>
    </row>
    <row r="57" spans="1:10" s="1" customFormat="1" ht="17.25" customHeight="1" x14ac:dyDescent="0.2">
      <c r="A57" s="346"/>
      <c r="B57" s="18" t="s">
        <v>122</v>
      </c>
      <c r="C57" s="19">
        <f>'[3]F 4 TRI _ Granulo'!K44</f>
        <v>0</v>
      </c>
      <c r="D57" s="20">
        <f>'[3]F 4 TRI _ Granulo'!H44</f>
        <v>0</v>
      </c>
      <c r="E57" s="20">
        <f>'[3]F 4 TRI _ Granulo'!E44</f>
        <v>0</v>
      </c>
      <c r="F57" s="20">
        <f t="shared" si="1"/>
        <v>0</v>
      </c>
      <c r="G57" s="21">
        <f t="shared" ref="G57:G62" si="3">F57/$F$64</f>
        <v>0</v>
      </c>
      <c r="H57" s="242">
        <f>G57*J53/I53</f>
        <v>0</v>
      </c>
      <c r="I57" s="348"/>
      <c r="J57" s="348"/>
    </row>
    <row r="58" spans="1:10" s="1" customFormat="1" ht="17.25" customHeight="1" x14ac:dyDescent="0.2">
      <c r="A58" s="346"/>
      <c r="B58" s="18" t="s">
        <v>123</v>
      </c>
      <c r="C58" s="19">
        <f>'[3]F 4 TRI _ Granulo'!K45</f>
        <v>0</v>
      </c>
      <c r="D58" s="20">
        <f>'[3]F 4 TRI _ Granulo'!H45</f>
        <v>0</v>
      </c>
      <c r="E58" s="20">
        <f>'[3]F 4 TRI _ Granulo'!E45</f>
        <v>0</v>
      </c>
      <c r="F58" s="20">
        <f t="shared" si="1"/>
        <v>0</v>
      </c>
      <c r="G58" s="21">
        <f t="shared" si="3"/>
        <v>0</v>
      </c>
      <c r="H58" s="242">
        <f>G58*J53/I53</f>
        <v>0</v>
      </c>
      <c r="I58" s="348"/>
      <c r="J58" s="348"/>
    </row>
    <row r="59" spans="1:10" s="1" customFormat="1" ht="25.5" customHeight="1" x14ac:dyDescent="0.2">
      <c r="A59" s="346"/>
      <c r="B59" s="18" t="s">
        <v>124</v>
      </c>
      <c r="C59" s="19">
        <f>'[3]F 4 TRI _ Granulo'!K46</f>
        <v>0</v>
      </c>
      <c r="D59" s="20">
        <f>'[3]F 4 TRI _ Granulo'!H46</f>
        <v>0</v>
      </c>
      <c r="E59" s="20">
        <f>'[3]F 4 TRI _ Granulo'!E46</f>
        <v>0</v>
      </c>
      <c r="F59" s="20">
        <f t="shared" si="1"/>
        <v>0</v>
      </c>
      <c r="G59" s="21">
        <f t="shared" si="3"/>
        <v>0</v>
      </c>
      <c r="H59" s="242">
        <f>G59*J53/I53</f>
        <v>0</v>
      </c>
      <c r="I59" s="348"/>
      <c r="J59" s="348"/>
    </row>
    <row r="60" spans="1:10" ht="25.5" x14ac:dyDescent="0.25">
      <c r="A60" s="346"/>
      <c r="B60" s="18" t="s">
        <v>125</v>
      </c>
      <c r="C60" s="19">
        <f>'[3]F 4 TRI _ Granulo'!K47</f>
        <v>0</v>
      </c>
      <c r="D60" s="20">
        <f>'[3]F 4 TRI _ Granulo'!H47</f>
        <v>0</v>
      </c>
      <c r="E60" s="20">
        <f>'[3]F 4 TRI _ Granulo'!E47</f>
        <v>0</v>
      </c>
      <c r="F60" s="20">
        <f t="shared" si="1"/>
        <v>0</v>
      </c>
      <c r="G60" s="21">
        <f t="shared" si="3"/>
        <v>0</v>
      </c>
      <c r="H60" s="242">
        <f>G60*J53/I53</f>
        <v>0</v>
      </c>
      <c r="I60" s="348"/>
      <c r="J60" s="348"/>
    </row>
    <row r="61" spans="1:10" ht="38.25" x14ac:dyDescent="0.25">
      <c r="A61" s="346"/>
      <c r="B61" s="18" t="s">
        <v>126</v>
      </c>
      <c r="C61" s="19">
        <f>'[3]F 4 TRI _ Granulo'!K48</f>
        <v>0</v>
      </c>
      <c r="D61" s="20">
        <f>'[3]F 4 TRI _ Granulo'!H48</f>
        <v>0</v>
      </c>
      <c r="E61" s="20">
        <f>'[3]F 4 TRI _ Granulo'!E48</f>
        <v>0</v>
      </c>
      <c r="F61" s="20">
        <f t="shared" si="1"/>
        <v>0</v>
      </c>
      <c r="G61" s="21">
        <f t="shared" si="3"/>
        <v>0</v>
      </c>
      <c r="H61" s="242">
        <f>G61*J53/I53</f>
        <v>0</v>
      </c>
      <c r="I61" s="348"/>
      <c r="J61" s="348"/>
    </row>
    <row r="62" spans="1:10" ht="51" x14ac:dyDescent="0.25">
      <c r="A62" s="358"/>
      <c r="B62" s="18" t="s">
        <v>73</v>
      </c>
      <c r="C62" s="19">
        <f>'[3]F 4 TRI _ Granulo'!K49</f>
        <v>0</v>
      </c>
      <c r="D62" s="20">
        <f>'[3]F 4 TRI _ Granulo'!H49</f>
        <v>0</v>
      </c>
      <c r="E62" s="20">
        <f>'[3]F 4 TRI _ Granulo'!E49</f>
        <v>0</v>
      </c>
      <c r="F62" s="20">
        <f t="shared" si="1"/>
        <v>0</v>
      </c>
      <c r="G62" s="21">
        <f t="shared" si="3"/>
        <v>0</v>
      </c>
      <c r="H62" s="242">
        <f>G62*J53/I53</f>
        <v>0</v>
      </c>
      <c r="I62" s="348"/>
      <c r="J62" s="348"/>
    </row>
    <row r="63" spans="1:10" x14ac:dyDescent="0.25">
      <c r="A63" s="22" t="s">
        <v>74</v>
      </c>
      <c r="B63" s="23">
        <f>'[3]F 3 _ Criblage et Tri'!C27+'[3]F 3 _ Criblage et Tri'!D27</f>
        <v>7.08</v>
      </c>
      <c r="C63" s="19">
        <f>'[3]F 4 TRI _ Granulo'!K50</f>
        <v>1.5092000000000012</v>
      </c>
      <c r="D63" s="20">
        <f>'[3]F 4 TRI _ Granulo'!H50</f>
        <v>0.26000000000000023</v>
      </c>
      <c r="E63" s="20">
        <f>'[3]F 4 TRI _ Granulo'!E50</f>
        <v>0</v>
      </c>
      <c r="F63" s="19">
        <f>SUM(B63:E63)</f>
        <v>8.8492000000000015</v>
      </c>
      <c r="G63" s="21">
        <f t="shared" si="0"/>
        <v>0.11025584159600103</v>
      </c>
      <c r="H63" s="21">
        <f>J63</f>
        <v>5.4004679613340406E-2</v>
      </c>
      <c r="I63" s="24">
        <f>G63</f>
        <v>0.11025584159600103</v>
      </c>
      <c r="J63" s="24">
        <f>'[3]Calcul sous cat &gt;20'!N20/100</f>
        <v>5.4004679613340406E-2</v>
      </c>
    </row>
    <row r="64" spans="1:10" x14ac:dyDescent="0.25">
      <c r="A64" s="25" t="s">
        <v>25</v>
      </c>
      <c r="B64" s="90">
        <f>B63</f>
        <v>7.08</v>
      </c>
      <c r="C64" s="19">
        <f>SUM(C18:C63)</f>
        <v>35.250600000000006</v>
      </c>
      <c r="D64" s="19">
        <f>SUM(D18:D63)</f>
        <v>29.59</v>
      </c>
      <c r="E64" s="19">
        <f>SUM(E18:E63)</f>
        <v>8.3399999999999981</v>
      </c>
      <c r="F64" s="19">
        <f>SUM(B64:E64)</f>
        <v>80.260600000000011</v>
      </c>
      <c r="G64" s="21">
        <f t="shared" si="0"/>
        <v>1</v>
      </c>
      <c r="H64" s="21">
        <f>SUM(H18:H63)</f>
        <v>1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8.8212647301415634E-2</v>
      </c>
      <c r="C65" s="235">
        <f>C64/$F$64</f>
        <v>0.43920180013605681</v>
      </c>
      <c r="D65" s="235">
        <f>D64/$F$64</f>
        <v>0.36867404430069045</v>
      </c>
      <c r="E65" s="235">
        <f>E64/$F$64</f>
        <v>0.10391150826183702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L34" sqref="L34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336" t="str">
        <f>'[4]F 1 _ Echant et Séchage'!D5</f>
        <v>IVR-A15-PB-PAR</v>
      </c>
      <c r="C2" s="336"/>
      <c r="D2" s="336"/>
      <c r="E2" s="336"/>
      <c r="F2" s="336"/>
      <c r="G2" s="2"/>
      <c r="H2" s="2"/>
      <c r="I2" s="2"/>
      <c r="J2" s="2"/>
    </row>
    <row r="3" spans="1:10" s="1" customFormat="1" ht="12.75" x14ac:dyDescent="0.2">
      <c r="A3" s="1" t="s">
        <v>1</v>
      </c>
      <c r="B3" s="343" t="str">
        <f>'[4]F 1 _ Echant et Séchage'!D6</f>
        <v>463 QPG 75 - 12E ARRDT</v>
      </c>
      <c r="C3" s="343"/>
      <c r="D3" s="343"/>
      <c r="E3" s="343"/>
      <c r="F3" s="343"/>
      <c r="G3" s="3"/>
      <c r="H3" s="3"/>
      <c r="I3" s="3"/>
      <c r="J3" s="3"/>
    </row>
    <row r="4" spans="1:10" s="1" customFormat="1" ht="12.75" x14ac:dyDescent="0.2">
      <c r="A4" s="1" t="s">
        <v>2</v>
      </c>
      <c r="B4" s="250"/>
      <c r="C4" s="250" t="str">
        <f>'[4]F 1 _ Echant et Séchage'!D8</f>
        <v>IVRY</v>
      </c>
      <c r="D4" s="250"/>
      <c r="E4" s="250"/>
      <c r="F4" s="250"/>
      <c r="G4" s="3"/>
      <c r="H4" s="3"/>
      <c r="I4" s="3"/>
      <c r="J4" s="3"/>
    </row>
    <row r="5" spans="1:10" s="1" customFormat="1" ht="12.75" x14ac:dyDescent="0.2">
      <c r="A5" s="1" t="s">
        <v>3</v>
      </c>
      <c r="B5" s="250"/>
      <c r="C5" s="250" t="str">
        <f>'[4]F 1 _ Echant et Séchage'!E15</f>
        <v>sec, fin de journée</v>
      </c>
      <c r="D5" s="250"/>
      <c r="E5" s="250"/>
      <c r="F5" s="250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'[4]F 1 _ Echant et Séchage'!B12</f>
        <v>42270</v>
      </c>
      <c r="D9" s="337" t="s">
        <v>6</v>
      </c>
      <c r="E9" s="337"/>
      <c r="F9" s="337"/>
      <c r="G9" s="6">
        <f>'[4]F 1 _ Echant et Séchage'!G19</f>
        <v>124.7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'[4]F 1 _ Echant et Séchage'!E12</f>
        <v>18H40</v>
      </c>
      <c r="D10" s="337" t="s">
        <v>9</v>
      </c>
      <c r="E10" s="337"/>
      <c r="F10" s="337"/>
      <c r="G10" s="250">
        <f>'[4]F 1 _ Echant et Séchage'!H26</f>
        <v>0.4</v>
      </c>
      <c r="H10" s="250"/>
      <c r="I10" s="9"/>
      <c r="J10" s="1" t="s">
        <v>10</v>
      </c>
    </row>
    <row r="11" spans="1:10" s="1" customFormat="1" ht="12.75" x14ac:dyDescent="0.2">
      <c r="B11" s="337"/>
      <c r="C11" s="337"/>
      <c r="D11" s="337" t="s">
        <v>11</v>
      </c>
      <c r="E11" s="337"/>
      <c r="F11" s="337"/>
      <c r="G11" s="10">
        <f>G9/1000/G10</f>
        <v>0.31174999999999997</v>
      </c>
      <c r="H11" s="10"/>
      <c r="I11" s="3"/>
      <c r="J11" s="3" t="s">
        <v>12</v>
      </c>
    </row>
    <row r="12" spans="1:10" s="1" customFormat="1" ht="12.75" x14ac:dyDescent="0.2">
      <c r="B12" s="7"/>
      <c r="D12" s="337" t="s">
        <v>13</v>
      </c>
      <c r="E12" s="337"/>
      <c r="F12" s="337"/>
      <c r="G12" s="236">
        <f>'[4]F 1 _ Echant et Séchage'!D51</f>
        <v>0.35813953488372091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s="1" customFormat="1" ht="15" customHeight="1" x14ac:dyDescent="0.2">
      <c r="A18" s="349" t="s">
        <v>26</v>
      </c>
      <c r="B18" s="18" t="s">
        <v>119</v>
      </c>
      <c r="C18" s="19">
        <f>'[4]F 4 TRI _ Granulo'!K5</f>
        <v>1.946629213483146</v>
      </c>
      <c r="D18" s="20">
        <f>'[4]F 4 TRI _ Granulo'!H5</f>
        <v>0.37000000000000011</v>
      </c>
      <c r="E18" s="20">
        <f>'[4]F 4 TRI _ Granulo'!E5</f>
        <v>0</v>
      </c>
      <c r="F18" s="20">
        <f>SUM(C18:E18)</f>
        <v>2.3166292134831461</v>
      </c>
      <c r="G18" s="21">
        <f t="shared" ref="G18:G64" si="0">F18/$F$64</f>
        <v>2.8103433940300994E-2</v>
      </c>
      <c r="H18" s="21">
        <f>G18*J18/I18</f>
        <v>6.3245310176008068E-2</v>
      </c>
      <c r="I18" s="344">
        <f>G18+G19+G20+G21+G22</f>
        <v>5.8599026507298473E-2</v>
      </c>
      <c r="J18" s="344">
        <f>'[4]Calcul sous cat &gt;20'!N8/100</f>
        <v>0.1318740483934796</v>
      </c>
    </row>
    <row r="19" spans="1:10" s="1" customFormat="1" ht="15" customHeight="1" x14ac:dyDescent="0.2">
      <c r="A19" s="350"/>
      <c r="B19" s="18" t="s">
        <v>27</v>
      </c>
      <c r="C19" s="19">
        <f>'[4]F 4 TRI _ Granulo'!K6</f>
        <v>1.946629213483146</v>
      </c>
      <c r="D19" s="20">
        <f>'[4]F 4 TRI _ Granulo'!H6</f>
        <v>0.1</v>
      </c>
      <c r="E19" s="20">
        <f>'[4]F 4 TRI _ Granulo'!E6</f>
        <v>0</v>
      </c>
      <c r="F19" s="20">
        <f>SUM(C19:E19)</f>
        <v>2.0466292134831461</v>
      </c>
      <c r="G19" s="21">
        <f t="shared" si="0"/>
        <v>2.4828016743747336E-2</v>
      </c>
      <c r="H19" s="21">
        <f>G19*J18/I18</f>
        <v>5.587415485769652E-2</v>
      </c>
      <c r="I19" s="344"/>
      <c r="J19" s="344"/>
    </row>
    <row r="20" spans="1:10" s="1" customFormat="1" ht="15" customHeight="1" x14ac:dyDescent="0.2">
      <c r="A20" s="350"/>
      <c r="B20" s="18" t="s">
        <v>28</v>
      </c>
      <c r="C20" s="19">
        <f>'[4]F 4 TRI _ Granulo'!K7</f>
        <v>0</v>
      </c>
      <c r="D20" s="20">
        <f>'[4]F 4 TRI _ Granulo'!H7</f>
        <v>0</v>
      </c>
      <c r="E20" s="20">
        <f>'[4]F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s="1" customFormat="1" ht="15" customHeight="1" x14ac:dyDescent="0.2">
      <c r="A21" s="350"/>
      <c r="B21" s="18" t="s">
        <v>29</v>
      </c>
      <c r="C21" s="19">
        <f>'[4]F 4 TRI _ Granulo'!K8</f>
        <v>0.38932584269662918</v>
      </c>
      <c r="D21" s="20">
        <f>'[4]F 4 TRI _ Granulo'!H8</f>
        <v>0</v>
      </c>
      <c r="E21" s="20">
        <f>'[4]F 4 TRI _ Granulo'!E8</f>
        <v>0</v>
      </c>
      <c r="F21" s="20">
        <f t="shared" si="1"/>
        <v>0.38932584269662918</v>
      </c>
      <c r="G21" s="21">
        <f t="shared" si="0"/>
        <v>4.7229798527084555E-3</v>
      </c>
      <c r="H21" s="21">
        <f>G21*J18/I18</f>
        <v>1.062881946647919E-2</v>
      </c>
      <c r="I21" s="344"/>
      <c r="J21" s="344"/>
    </row>
    <row r="22" spans="1:10" s="1" customFormat="1" ht="15" customHeight="1" x14ac:dyDescent="0.2">
      <c r="A22" s="351"/>
      <c r="B22" s="18" t="s">
        <v>30</v>
      </c>
      <c r="C22" s="19">
        <f>'[4]F 4 TRI _ Granulo'!K9</f>
        <v>7.7865168539325846E-2</v>
      </c>
      <c r="D22" s="20">
        <f>'[4]F 4 TRI _ Granulo'!H9</f>
        <v>0</v>
      </c>
      <c r="E22" s="20">
        <f>'[4]F 4 TRI _ Granulo'!E9</f>
        <v>0</v>
      </c>
      <c r="F22" s="20">
        <f t="shared" si="1"/>
        <v>7.7865168539325846E-2</v>
      </c>
      <c r="G22" s="21">
        <f t="shared" si="0"/>
        <v>9.4459597054169118E-4</v>
      </c>
      <c r="H22" s="21">
        <f>G22*J18/I18</f>
        <v>2.125763893295838E-3</v>
      </c>
      <c r="I22" s="344"/>
      <c r="J22" s="344"/>
    </row>
    <row r="23" spans="1:10" s="1" customFormat="1" ht="15" customHeight="1" x14ac:dyDescent="0.2">
      <c r="A23" s="345" t="s">
        <v>31</v>
      </c>
      <c r="B23" s="18" t="s">
        <v>32</v>
      </c>
      <c r="C23" s="19">
        <f>'[4]F 4 TRI _ Granulo'!K10</f>
        <v>0.23359550561797771</v>
      </c>
      <c r="D23" s="20">
        <f>'[4]F 4 TRI _ Granulo'!H10</f>
        <v>0.81</v>
      </c>
      <c r="E23" s="20">
        <f>'[4]F 4 TRI _ Granulo'!E10</f>
        <v>0</v>
      </c>
      <c r="F23" s="20">
        <f t="shared" si="1"/>
        <v>1.0435955056179778</v>
      </c>
      <c r="G23" s="21">
        <f t="shared" si="0"/>
        <v>1.2660039501286045E-2</v>
      </c>
      <c r="H23" s="21">
        <f>'[4]Calcul sous cat &gt;20'!N32/100</f>
        <v>1.1937396075549767E-2</v>
      </c>
      <c r="I23" s="348">
        <f>G23+G24+G25+G26+G27</f>
        <v>0.15510184053093659</v>
      </c>
      <c r="J23" s="348">
        <f>'[4]Calcul sous cat &gt;20'!N9/100</f>
        <v>0.14286545574431972</v>
      </c>
    </row>
    <row r="24" spans="1:10" s="1" customFormat="1" ht="15" customHeight="1" x14ac:dyDescent="0.2">
      <c r="A24" s="346"/>
      <c r="B24" s="18" t="s">
        <v>33</v>
      </c>
      <c r="C24" s="19">
        <f>'[4]F 4 TRI _ Granulo'!K11</f>
        <v>0.54505617977528142</v>
      </c>
      <c r="D24" s="20">
        <f>'[4]F 4 TRI _ Granulo'!H11</f>
        <v>4.1899999999999995</v>
      </c>
      <c r="E24" s="20">
        <f>'[4]F 4 TRI _ Granulo'!E11</f>
        <v>0</v>
      </c>
      <c r="F24" s="20">
        <f t="shared" si="1"/>
        <v>4.735056179775281</v>
      </c>
      <c r="G24" s="21">
        <f t="shared" si="0"/>
        <v>5.7441794214383765E-2</v>
      </c>
      <c r="H24" s="21">
        <f>'[4]Calcul sous cat &gt;20'!N33/100</f>
        <v>5.2399531389720588E-2</v>
      </c>
      <c r="I24" s="348"/>
      <c r="J24" s="348"/>
    </row>
    <row r="25" spans="1:10" s="1" customFormat="1" ht="15" customHeight="1" x14ac:dyDescent="0.2">
      <c r="A25" s="346"/>
      <c r="B25" s="18" t="s">
        <v>34</v>
      </c>
      <c r="C25" s="19">
        <f>'[4]F 4 TRI _ Granulo'!K12</f>
        <v>0.54505617977528142</v>
      </c>
      <c r="D25" s="20">
        <f>'[4]F 4 TRI _ Granulo'!H12</f>
        <v>1.3900000000000001</v>
      </c>
      <c r="E25" s="20">
        <f>'[4]F 4 TRI _ Granulo'!E12</f>
        <v>0</v>
      </c>
      <c r="F25" s="20">
        <f t="shared" si="1"/>
        <v>1.9350561797752817</v>
      </c>
      <c r="G25" s="21">
        <f t="shared" si="0"/>
        <v>2.347450476864215E-2</v>
      </c>
      <c r="H25" s="21">
        <f>'[4]Calcul sous cat &gt;20'!N34/100</f>
        <v>2.1413903696876468E-2</v>
      </c>
      <c r="I25" s="348"/>
      <c r="J25" s="348"/>
    </row>
    <row r="26" spans="1:10" s="1" customFormat="1" ht="15" customHeight="1" x14ac:dyDescent="0.2">
      <c r="A26" s="346"/>
      <c r="B26" s="18" t="s">
        <v>35</v>
      </c>
      <c r="C26" s="19">
        <f>'[4]F 4 TRI _ Granulo'!K13</f>
        <v>1.6351685393258442</v>
      </c>
      <c r="D26" s="20">
        <f>'[4]F 4 TRI _ Granulo'!H13</f>
        <v>1.63</v>
      </c>
      <c r="E26" s="20">
        <f>'[4]F 4 TRI _ Granulo'!E13</f>
        <v>0</v>
      </c>
      <c r="F26" s="20">
        <f t="shared" si="1"/>
        <v>3.2651685393258441</v>
      </c>
      <c r="G26" s="21">
        <f t="shared" si="0"/>
        <v>3.9610330308717974E-2</v>
      </c>
      <c r="H26" s="21">
        <f>'[4]Calcul sous cat &gt;20'!N35/100</f>
        <v>3.6495352770886544E-2</v>
      </c>
      <c r="I26" s="348"/>
      <c r="J26" s="348"/>
    </row>
    <row r="27" spans="1:10" s="1" customFormat="1" ht="15" customHeight="1" x14ac:dyDescent="0.2">
      <c r="A27" s="347"/>
      <c r="B27" s="18" t="s">
        <v>36</v>
      </c>
      <c r="C27" s="19">
        <f>'[4]F 4 TRI _ Granulo'!K14</f>
        <v>0.85651685393258503</v>
      </c>
      <c r="D27" s="20">
        <f>'[4]F 4 TRI _ Granulo'!H14</f>
        <v>0.57000000000000028</v>
      </c>
      <c r="E27" s="20">
        <f>'[4]F 4 TRI _ Granulo'!E14</f>
        <v>0.38</v>
      </c>
      <c r="F27" s="20">
        <f t="shared" si="1"/>
        <v>1.8065168539325853</v>
      </c>
      <c r="G27" s="21">
        <f t="shared" si="0"/>
        <v>2.1915171737906664E-2</v>
      </c>
      <c r="H27" s="21">
        <f>'[4]Calcul sous cat &gt;20'!N36/100</f>
        <v>2.0619271811286356E-2</v>
      </c>
      <c r="I27" s="348"/>
      <c r="J27" s="348"/>
    </row>
    <row r="28" spans="1:10" s="1" customFormat="1" ht="15" customHeight="1" x14ac:dyDescent="0.2">
      <c r="A28" s="345" t="s">
        <v>37</v>
      </c>
      <c r="B28" s="18" t="s">
        <v>38</v>
      </c>
      <c r="C28" s="19">
        <f>'[4]F 4 TRI _ Granulo'!K15</f>
        <v>0.85651685393258503</v>
      </c>
      <c r="D28" s="20">
        <f>'[4]F 4 TRI _ Granulo'!H15</f>
        <v>0.81</v>
      </c>
      <c r="E28" s="20">
        <f>'[4]F 4 TRI _ Granulo'!E15</f>
        <v>0</v>
      </c>
      <c r="F28" s="20">
        <f t="shared" si="1"/>
        <v>1.6665168539325852</v>
      </c>
      <c r="G28" s="21">
        <f t="shared" si="0"/>
        <v>2.0216807265619582E-2</v>
      </c>
      <c r="H28" s="21">
        <f>'[4]Calcul sous cat &gt;20'!N37/100</f>
        <v>1.849649125884532E-2</v>
      </c>
      <c r="I28" s="348">
        <f>G28+G29+G30</f>
        <v>7.8222905566301001E-2</v>
      </c>
      <c r="J28" s="348">
        <f>'[4]Calcul sous cat &gt;20'!N10/100</f>
        <v>7.2061246826269021E-2</v>
      </c>
    </row>
    <row r="29" spans="1:10" s="1" customFormat="1" ht="15" customHeight="1" x14ac:dyDescent="0.2">
      <c r="A29" s="346"/>
      <c r="B29" s="18" t="s">
        <v>39</v>
      </c>
      <c r="C29" s="19">
        <f>'[4]F 4 TRI _ Granulo'!K16</f>
        <v>0.38932584269662918</v>
      </c>
      <c r="D29" s="20">
        <f>'[4]F 4 TRI _ Granulo'!H16</f>
        <v>0.89000000000000012</v>
      </c>
      <c r="E29" s="20">
        <f>'[4]F 4 TRI _ Granulo'!E16</f>
        <v>1.4800000000000004</v>
      </c>
      <c r="F29" s="20">
        <f t="shared" si="1"/>
        <v>2.7593258426966298</v>
      </c>
      <c r="G29" s="21">
        <f t="shared" si="0"/>
        <v>3.3473864133568336E-2</v>
      </c>
      <c r="H29" s="21">
        <f>'[4]Calcul sous cat &gt;20'!N38/100</f>
        <v>3.0644367488263591E-2</v>
      </c>
      <c r="I29" s="348"/>
      <c r="J29" s="348"/>
    </row>
    <row r="30" spans="1:10" s="1" customFormat="1" ht="15" customHeight="1" x14ac:dyDescent="0.2">
      <c r="A30" s="347"/>
      <c r="B30" s="18" t="s">
        <v>40</v>
      </c>
      <c r="C30" s="19">
        <f>'[4]F 4 TRI _ Granulo'!K17</f>
        <v>1.0122471910112369</v>
      </c>
      <c r="D30" s="20">
        <f>'[4]F 4 TRI _ Granulo'!H17</f>
        <v>1.0100000000000002</v>
      </c>
      <c r="E30" s="20">
        <f>'[4]F 4 TRI _ Granulo'!E17</f>
        <v>0</v>
      </c>
      <c r="F30" s="20">
        <f t="shared" si="1"/>
        <v>2.0222471910112372</v>
      </c>
      <c r="G30" s="21">
        <f t="shared" si="0"/>
        <v>2.4532234167113084E-2</v>
      </c>
      <c r="H30" s="21">
        <f>'[4]Calcul sous cat &gt;20'!N39/100</f>
        <v>2.2920388079160112E-2</v>
      </c>
      <c r="I30" s="348"/>
      <c r="J30" s="348"/>
    </row>
    <row r="31" spans="1:10" s="1" customFormat="1" ht="15" customHeight="1" x14ac:dyDescent="0.2">
      <c r="A31" s="352" t="s">
        <v>41</v>
      </c>
      <c r="B31" s="18" t="s">
        <v>42</v>
      </c>
      <c r="C31" s="19">
        <f>'[4]F 4 TRI _ Granulo'!K18</f>
        <v>0.38932584269662918</v>
      </c>
      <c r="D31" s="20">
        <f>'[4]F 4 TRI _ Granulo'!H18</f>
        <v>0.66999999999999993</v>
      </c>
      <c r="E31" s="20">
        <f>'[4]F 4 TRI _ Granulo'!E18</f>
        <v>0</v>
      </c>
      <c r="F31" s="20">
        <f t="shared" si="1"/>
        <v>1.0593258426966292</v>
      </c>
      <c r="G31" s="21">
        <f t="shared" si="0"/>
        <v>1.2850866970082343E-2</v>
      </c>
      <c r="H31" s="241">
        <f>G31*J31/I31</f>
        <v>1.4900104020003111E-2</v>
      </c>
      <c r="I31" s="355">
        <f>G31+G32+G33+G34</f>
        <v>2.6932571113900839E-2</v>
      </c>
      <c r="J31" s="355">
        <f>'[4]Calcul sous cat &gt;20'!N11/100</f>
        <v>3.1227318130169875E-2</v>
      </c>
    </row>
    <row r="32" spans="1:10" s="1" customFormat="1" ht="15" customHeight="1" x14ac:dyDescent="0.2">
      <c r="A32" s="353"/>
      <c r="B32" s="18" t="s">
        <v>43</v>
      </c>
      <c r="C32" s="19">
        <f>'[4]F 4 TRI _ Granulo'!K19</f>
        <v>0.70078651685393323</v>
      </c>
      <c r="D32" s="20">
        <f>'[4]F 4 TRI _ Granulo'!H19</f>
        <v>0.35000000000000009</v>
      </c>
      <c r="E32" s="20">
        <f>'[4]F 4 TRI _ Granulo'!E19</f>
        <v>0</v>
      </c>
      <c r="F32" s="20">
        <f t="shared" si="1"/>
        <v>1.0507865168539334</v>
      </c>
      <c r="G32" s="21">
        <f t="shared" si="0"/>
        <v>1.2747274915592932E-2</v>
      </c>
      <c r="H32" s="241">
        <f>G32*J31/I31</f>
        <v>1.4779992871772297E-2</v>
      </c>
      <c r="I32" s="356"/>
      <c r="J32" s="356"/>
    </row>
    <row r="33" spans="1:10" s="1" customFormat="1" ht="15" customHeight="1" x14ac:dyDescent="0.2">
      <c r="A33" s="353"/>
      <c r="B33" s="18" t="s">
        <v>44</v>
      </c>
      <c r="C33" s="19">
        <f>'[4]F 4 TRI _ Granulo'!K20</f>
        <v>0</v>
      </c>
      <c r="D33" s="20">
        <f>'[4]F 4 TRI _ Granulo'!H20</f>
        <v>0</v>
      </c>
      <c r="E33" s="20">
        <f>'[4]F 4 TRI _ Granulo'!E20</f>
        <v>0</v>
      </c>
      <c r="F33" s="20">
        <f t="shared" si="1"/>
        <v>0</v>
      </c>
      <c r="G33" s="21">
        <f t="shared" si="0"/>
        <v>0</v>
      </c>
      <c r="H33" s="241">
        <f>G33*J31/I31</f>
        <v>0</v>
      </c>
      <c r="I33" s="356"/>
      <c r="J33" s="356"/>
    </row>
    <row r="34" spans="1:10" s="1" customFormat="1" ht="15" customHeight="1" x14ac:dyDescent="0.2">
      <c r="A34" s="354"/>
      <c r="B34" s="18" t="s">
        <v>120</v>
      </c>
      <c r="C34" s="19">
        <f>'[4]F 4 TRI _ Granulo'!K21</f>
        <v>0</v>
      </c>
      <c r="D34" s="20">
        <f>'[4]F 4 TRI _ Granulo'!H21</f>
        <v>0.1100000000000001</v>
      </c>
      <c r="E34" s="20">
        <f>'[4]F 4 TRI _ Granulo'!E21</f>
        <v>0</v>
      </c>
      <c r="F34" s="20">
        <f t="shared" si="1"/>
        <v>0.1100000000000001</v>
      </c>
      <c r="G34" s="21">
        <f t="shared" si="0"/>
        <v>1.3344292282255648E-3</v>
      </c>
      <c r="H34" s="241">
        <f>G34*J31/I31</f>
        <v>1.5472212383944694E-3</v>
      </c>
      <c r="I34" s="357"/>
      <c r="J34" s="357"/>
    </row>
    <row r="35" spans="1:10" s="1" customFormat="1" ht="15" customHeight="1" x14ac:dyDescent="0.2">
      <c r="A35" s="251" t="s">
        <v>45</v>
      </c>
      <c r="B35" s="18" t="s">
        <v>46</v>
      </c>
      <c r="C35" s="19">
        <f>'[4]F 4 TRI _ Granulo'!K22</f>
        <v>0.70078651685393323</v>
      </c>
      <c r="D35" s="20">
        <f>'[4]F 4 TRI _ Granulo'!H22</f>
        <v>0.73</v>
      </c>
      <c r="E35" s="20">
        <f>'[4]F 4 TRI _ Granulo'!E22</f>
        <v>0.62</v>
      </c>
      <c r="F35" s="20">
        <f t="shared" si="1"/>
        <v>2.0507865168539334</v>
      </c>
      <c r="G35" s="21">
        <f t="shared" si="0"/>
        <v>2.4878449717643511E-2</v>
      </c>
      <c r="H35" s="21">
        <f>'[4]Calcul sous cat &gt;20'!N43/100</f>
        <v>2.2898110377078826E-2</v>
      </c>
      <c r="I35" s="252">
        <f>G35</f>
        <v>2.4878449717643511E-2</v>
      </c>
      <c r="J35" s="252">
        <f>'[4]Calcul sous cat &gt;20'!N12/100</f>
        <v>2.2898110377078826E-2</v>
      </c>
    </row>
    <row r="36" spans="1:10" s="1" customFormat="1" ht="15" customHeight="1" x14ac:dyDescent="0.2">
      <c r="A36" s="345" t="s">
        <v>47</v>
      </c>
      <c r="B36" s="18" t="s">
        <v>48</v>
      </c>
      <c r="C36" s="19">
        <f>'[4]F 4 TRI _ Granulo'!K23</f>
        <v>5.061235955056179</v>
      </c>
      <c r="D36" s="20">
        <f>'[4]F 4 TRI _ Granulo'!H23</f>
        <v>2.25</v>
      </c>
      <c r="E36" s="20">
        <f>'[4]F 4 TRI _ Granulo'!E23</f>
        <v>0</v>
      </c>
      <c r="F36" s="20">
        <f t="shared" si="1"/>
        <v>7.311235955056179</v>
      </c>
      <c r="G36" s="21">
        <f t="shared" si="0"/>
        <v>8.8693881389823717E-2</v>
      </c>
      <c r="H36" s="21">
        <f>'[4]Calcul sous cat &gt;20'!N44/100</f>
        <v>8.4313098387027968E-2</v>
      </c>
      <c r="I36" s="348">
        <f>G36+G37</f>
        <v>0.14407746504790453</v>
      </c>
      <c r="J36" s="348">
        <f>'[4]Calcul sous cat &gt;20'!N13/100</f>
        <v>0.13642815569467115</v>
      </c>
    </row>
    <row r="37" spans="1:10" s="1" customFormat="1" ht="15" customHeight="1" x14ac:dyDescent="0.2">
      <c r="A37" s="347"/>
      <c r="B37" s="18" t="s">
        <v>49</v>
      </c>
      <c r="C37" s="19">
        <f>'[4]F 4 TRI _ Granulo'!K24</f>
        <v>3.8153932584269681</v>
      </c>
      <c r="D37" s="20">
        <f>'[4]F 4 TRI _ Granulo'!H24</f>
        <v>0.75</v>
      </c>
      <c r="E37" s="20">
        <f>'[4]F 4 TRI _ Granulo'!E24</f>
        <v>0</v>
      </c>
      <c r="F37" s="20">
        <f t="shared" si="1"/>
        <v>4.5653932584269681</v>
      </c>
      <c r="G37" s="21">
        <f t="shared" si="0"/>
        <v>5.5383583658080819E-2</v>
      </c>
      <c r="H37" s="21">
        <f>'[4]Calcul sous cat &gt;20'!N45/100</f>
        <v>5.2115057307643181E-2</v>
      </c>
      <c r="I37" s="348"/>
      <c r="J37" s="348"/>
    </row>
    <row r="38" spans="1:10" s="1" customFormat="1" ht="15" customHeight="1" x14ac:dyDescent="0.2">
      <c r="A38" s="345" t="s">
        <v>50</v>
      </c>
      <c r="B38" s="18" t="s">
        <v>51</v>
      </c>
      <c r="C38" s="19">
        <f>'[4]F 4 TRI _ Granulo'!K25</f>
        <v>1.790898876404494</v>
      </c>
      <c r="D38" s="20">
        <f>'[4]F 4 TRI _ Granulo'!H25</f>
        <v>5.8699999999999992</v>
      </c>
      <c r="E38" s="20">
        <f>'[4]F 4 TRI _ Granulo'!E25</f>
        <v>0</v>
      </c>
      <c r="F38" s="20">
        <f t="shared" si="1"/>
        <v>7.6608988764044934</v>
      </c>
      <c r="G38" s="21">
        <f t="shared" si="0"/>
        <v>9.2935703410495785E-2</v>
      </c>
      <c r="H38" s="21">
        <f>'[4]Calcul sous cat &gt;20'!N46/100</f>
        <v>9.9137682297986057E-2</v>
      </c>
      <c r="I38" s="348">
        <f>G38+G39+G40+G41+G42</f>
        <v>0.19900442583422276</v>
      </c>
      <c r="J38" s="348">
        <f>'[4]Calcul sous cat &gt;20'!N14/100</f>
        <v>0.20665651769448698</v>
      </c>
    </row>
    <row r="39" spans="1:10" s="1" customFormat="1" ht="15" customHeight="1" x14ac:dyDescent="0.2">
      <c r="A39" s="346"/>
      <c r="B39" s="18" t="s">
        <v>52</v>
      </c>
      <c r="C39" s="19">
        <f>'[4]F 4 TRI _ Granulo'!K26</f>
        <v>1.4794382022471924</v>
      </c>
      <c r="D39" s="20">
        <f>'[4]F 4 TRI _ Granulo'!H26</f>
        <v>1.0100000000000002</v>
      </c>
      <c r="E39" s="20">
        <f>'[4]F 4 TRI _ Granulo'!E26</f>
        <v>0</v>
      </c>
      <c r="F39" s="20">
        <f t="shared" si="1"/>
        <v>2.4894382022471926</v>
      </c>
      <c r="G39" s="21">
        <f t="shared" si="0"/>
        <v>3.0199809990363233E-2</v>
      </c>
      <c r="H39" s="21">
        <f>'[4]Calcul sous cat &gt;20'!N47/100</f>
        <v>2.8801744013054541E-2</v>
      </c>
      <c r="I39" s="348"/>
      <c r="J39" s="348"/>
    </row>
    <row r="40" spans="1:10" s="1" customFormat="1" ht="15" customHeight="1" x14ac:dyDescent="0.2">
      <c r="A40" s="346"/>
      <c r="B40" s="18" t="s">
        <v>53</v>
      </c>
      <c r="C40" s="19">
        <f>'[4]F 4 TRI _ Granulo'!K27</f>
        <v>1.1679775280898888</v>
      </c>
      <c r="D40" s="20">
        <f>'[4]F 4 TRI _ Granulo'!H27</f>
        <v>0.43000000000000016</v>
      </c>
      <c r="E40" s="20">
        <f>'[4]F 4 TRI _ Granulo'!E27</f>
        <v>0</v>
      </c>
      <c r="F40" s="20">
        <f t="shared" si="1"/>
        <v>1.5979775280898889</v>
      </c>
      <c r="G40" s="21">
        <f t="shared" si="0"/>
        <v>1.9385344723007132E-2</v>
      </c>
      <c r="H40" s="21">
        <f>'[4]Calcul sous cat &gt;20'!N48/100</f>
        <v>1.8485638465398829E-2</v>
      </c>
      <c r="I40" s="348"/>
      <c r="J40" s="348"/>
    </row>
    <row r="41" spans="1:10" s="1" customFormat="1" ht="15" customHeight="1" x14ac:dyDescent="0.2">
      <c r="A41" s="346"/>
      <c r="B41" s="18" t="s">
        <v>54</v>
      </c>
      <c r="C41" s="19">
        <f>'[4]F 4 TRI _ Granulo'!K28</f>
        <v>1.6351685393258442</v>
      </c>
      <c r="D41" s="20">
        <f>'[4]F 4 TRI _ Granulo'!H28</f>
        <v>1.0200000000000005</v>
      </c>
      <c r="E41" s="20">
        <f>'[4]F 4 TRI _ Granulo'!E28</f>
        <v>0</v>
      </c>
      <c r="F41" s="20">
        <f t="shared" si="1"/>
        <v>2.6551685393258446</v>
      </c>
      <c r="G41" s="21">
        <f t="shared" si="0"/>
        <v>3.2210313679467126E-2</v>
      </c>
      <c r="H41" s="21">
        <f>'[4]Calcul sous cat &gt;20'!N49/100</f>
        <v>3.4346410246908106E-2</v>
      </c>
      <c r="I41" s="348"/>
      <c r="J41" s="348"/>
    </row>
    <row r="42" spans="1:10" s="1" customFormat="1" ht="27" customHeight="1" x14ac:dyDescent="0.2">
      <c r="A42" s="347"/>
      <c r="B42" s="18" t="s">
        <v>55</v>
      </c>
      <c r="C42" s="19">
        <f>'[4]F 4 TRI _ Granulo'!K29</f>
        <v>1.790898876404494</v>
      </c>
      <c r="D42" s="20">
        <f>'[4]F 4 TRI _ Granulo'!H29</f>
        <v>0.21000000000000019</v>
      </c>
      <c r="E42" s="20">
        <f>'[4]F 4 TRI _ Granulo'!E29</f>
        <v>0</v>
      </c>
      <c r="F42" s="20">
        <f t="shared" si="1"/>
        <v>2.0008988764044942</v>
      </c>
      <c r="G42" s="21">
        <f t="shared" si="0"/>
        <v>2.4273254030889514E-2</v>
      </c>
      <c r="H42" s="21">
        <f>'[4]Calcul sous cat &gt;20'!N50/100</f>
        <v>2.5885042671139443E-2</v>
      </c>
      <c r="I42" s="348"/>
      <c r="J42" s="348"/>
    </row>
    <row r="43" spans="1:10" s="1" customFormat="1" ht="26.25" customHeight="1" x14ac:dyDescent="0.2">
      <c r="A43" s="251" t="s">
        <v>56</v>
      </c>
      <c r="B43" s="18" t="s">
        <v>56</v>
      </c>
      <c r="C43" s="19">
        <f>'[4]F 4 TRI _ Granulo'!K30</f>
        <v>0.54505617977528142</v>
      </c>
      <c r="D43" s="20">
        <f>'[4]F 4 TRI _ Granulo'!H30</f>
        <v>0.1100000000000001</v>
      </c>
      <c r="E43" s="20">
        <f>'[4]F 4 TRI _ Granulo'!E30</f>
        <v>0</v>
      </c>
      <c r="F43" s="20">
        <f t="shared" si="1"/>
        <v>0.65505617977528152</v>
      </c>
      <c r="G43" s="21">
        <f t="shared" si="0"/>
        <v>7.9466010220174098E-3</v>
      </c>
      <c r="H43" s="21">
        <f>J43</f>
        <v>7.4692748602863878E-3</v>
      </c>
      <c r="I43" s="252">
        <f>G43</f>
        <v>7.9466010220174098E-3</v>
      </c>
      <c r="J43" s="252">
        <f>'[4]Calcul sous cat &gt;20'!N15/100</f>
        <v>7.4692748602863878E-3</v>
      </c>
    </row>
    <row r="44" spans="1:10" s="1" customFormat="1" ht="15" customHeight="1" x14ac:dyDescent="0.2">
      <c r="A44" s="345" t="s">
        <v>57</v>
      </c>
      <c r="B44" s="18" t="s">
        <v>58</v>
      </c>
      <c r="C44" s="19">
        <f>'[4]F 4 TRI _ Granulo'!K31</f>
        <v>9.4216853932584268</v>
      </c>
      <c r="D44" s="20">
        <f>'[4]F 4 TRI _ Granulo'!H31</f>
        <v>3.9499999999999997</v>
      </c>
      <c r="E44" s="20">
        <f>'[4]F 4 TRI _ Granulo'!E31</f>
        <v>0</v>
      </c>
      <c r="F44" s="20">
        <f t="shared" si="1"/>
        <v>13.371685393258426</v>
      </c>
      <c r="G44" s="21">
        <f t="shared" si="0"/>
        <v>0.16221425290364441</v>
      </c>
      <c r="H44" s="21">
        <f>G44*J44/I44</f>
        <v>0.14911827258185614</v>
      </c>
      <c r="I44" s="348">
        <f>G44+G45</f>
        <v>0.17685071976032074</v>
      </c>
      <c r="J44" s="348">
        <f>'[4]Calcul sous cat &gt;20'!N16/100</f>
        <v>0.16257309924043351</v>
      </c>
    </row>
    <row r="45" spans="1:10" s="1" customFormat="1" ht="15" customHeight="1" x14ac:dyDescent="0.2">
      <c r="A45" s="347"/>
      <c r="B45" s="18" t="s">
        <v>59</v>
      </c>
      <c r="C45" s="19">
        <f>'[4]F 4 TRI _ Granulo'!K32</f>
        <v>0.85651685393258503</v>
      </c>
      <c r="D45" s="20">
        <f>'[4]F 4 TRI _ Granulo'!H32</f>
        <v>0.35000000000000009</v>
      </c>
      <c r="E45" s="20">
        <f>'[4]F 4 TRI _ Granulo'!E32</f>
        <v>0</v>
      </c>
      <c r="F45" s="20">
        <f t="shared" si="1"/>
        <v>1.2065168539325852</v>
      </c>
      <c r="G45" s="21">
        <f t="shared" si="0"/>
        <v>1.4636466856676316E-2</v>
      </c>
      <c r="H45" s="21">
        <f>G45*J44/I44</f>
        <v>1.3454826658577343E-2</v>
      </c>
      <c r="I45" s="348"/>
      <c r="J45" s="348"/>
    </row>
    <row r="46" spans="1:10" s="1" customFormat="1" ht="15" customHeight="1" x14ac:dyDescent="0.2">
      <c r="A46" s="345" t="s">
        <v>60</v>
      </c>
      <c r="B46" s="18" t="s">
        <v>61</v>
      </c>
      <c r="C46" s="19">
        <f>'[4]F 4 TRI _ Granulo'!K33</f>
        <v>0.85651685393258503</v>
      </c>
      <c r="D46" s="20">
        <f>'[4]F 4 TRI _ Granulo'!H33</f>
        <v>0.53000000000000025</v>
      </c>
      <c r="E46" s="20">
        <f>'[4]F 4 TRI _ Granulo'!E33</f>
        <v>0</v>
      </c>
      <c r="F46" s="20">
        <f t="shared" si="1"/>
        <v>1.3865168539325854</v>
      </c>
      <c r="G46" s="21">
        <f t="shared" si="0"/>
        <v>1.6820078321045422E-2</v>
      </c>
      <c r="H46" s="21">
        <f t="shared" ref="H46:H51" si="2">G46*$J$46/$I$46</f>
        <v>1.5965909150293191E-2</v>
      </c>
      <c r="I46" s="348">
        <f>G46+G47+G50+G51+G48+G49</f>
        <v>4.4263794440650636E-2</v>
      </c>
      <c r="J46" s="348">
        <f>'[4]Calcul sous cat &gt;20'!N17/100</f>
        <v>4.2015958974604618E-2</v>
      </c>
    </row>
    <row r="47" spans="1:10" s="1" customFormat="1" ht="15" customHeight="1" x14ac:dyDescent="0.2">
      <c r="A47" s="346"/>
      <c r="B47" s="18" t="s">
        <v>62</v>
      </c>
      <c r="C47" s="19">
        <f>'[4]F 4 TRI _ Granulo'!K34</f>
        <v>0.38932584269662951</v>
      </c>
      <c r="D47" s="20">
        <f>'[4]F 4 TRI _ Granulo'!H34</f>
        <v>5.0000000000000044E-2</v>
      </c>
      <c r="E47" s="20">
        <f>'[4]F 4 TRI _ Granulo'!E34</f>
        <v>0</v>
      </c>
      <c r="F47" s="20">
        <f t="shared" si="1"/>
        <v>0.43932584269662955</v>
      </c>
      <c r="G47" s="21">
        <f t="shared" si="0"/>
        <v>5.3295385928109886E-3</v>
      </c>
      <c r="H47" s="21">
        <f t="shared" si="2"/>
        <v>5.0588901764705334E-3</v>
      </c>
      <c r="I47" s="348"/>
      <c r="J47" s="348"/>
    </row>
    <row r="48" spans="1:10" s="1" customFormat="1" ht="15" customHeight="1" x14ac:dyDescent="0.2">
      <c r="A48" s="346"/>
      <c r="B48" s="18" t="s">
        <v>63</v>
      </c>
      <c r="C48" s="19">
        <f>'[4]F 4 TRI _ Granulo'!K35</f>
        <v>0</v>
      </c>
      <c r="D48" s="20">
        <f>'[4]F 4 TRI _ Granulo'!H35</f>
        <v>0</v>
      </c>
      <c r="E48" s="20">
        <f>'[4]F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s="1" customFormat="1" ht="15" customHeight="1" x14ac:dyDescent="0.2">
      <c r="A49" s="346"/>
      <c r="B49" s="18" t="s">
        <v>64</v>
      </c>
      <c r="C49" s="19">
        <f>'[4]F 4 TRI _ Granulo'!K36</f>
        <v>0</v>
      </c>
      <c r="D49" s="20">
        <f>'[4]F 4 TRI _ Granulo'!H36</f>
        <v>0</v>
      </c>
      <c r="E49" s="20">
        <f>'[4]F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s="1" customFormat="1" ht="15" customHeight="1" x14ac:dyDescent="0.2">
      <c r="A50" s="346"/>
      <c r="B50" s="18" t="s">
        <v>65</v>
      </c>
      <c r="C50" s="19">
        <f>'[4]F 4 TRI _ Granulo'!K37</f>
        <v>7.7865168539325916E-2</v>
      </c>
      <c r="D50" s="20">
        <f>'[4]F 4 TRI _ Granulo'!H37</f>
        <v>0.25</v>
      </c>
      <c r="E50" s="20">
        <f>'[4]F 4 TRI _ Granulo'!E37</f>
        <v>0</v>
      </c>
      <c r="F50" s="20">
        <f t="shared" si="1"/>
        <v>0.3278651685393259</v>
      </c>
      <c r="G50" s="21">
        <f t="shared" si="0"/>
        <v>3.9773896710543367E-3</v>
      </c>
      <c r="H50" s="21">
        <f t="shared" si="2"/>
        <v>3.7754070421844015E-3</v>
      </c>
      <c r="I50" s="348"/>
      <c r="J50" s="348"/>
    </row>
    <row r="51" spans="1:10" s="1" customFormat="1" ht="15" customHeight="1" x14ac:dyDescent="0.2">
      <c r="A51" s="347"/>
      <c r="B51" s="18" t="s">
        <v>66</v>
      </c>
      <c r="C51" s="19">
        <f>'[4]F 4 TRI _ Granulo'!K38</f>
        <v>0.54505617977528142</v>
      </c>
      <c r="D51" s="20">
        <f>'[4]F 4 TRI _ Granulo'!H38</f>
        <v>7.0000000000000062E-2</v>
      </c>
      <c r="E51" s="20">
        <f>'[4]F 4 TRI _ Granulo'!E38</f>
        <v>0.88</v>
      </c>
      <c r="F51" s="20">
        <f t="shared" si="1"/>
        <v>1.4950561797752815</v>
      </c>
      <c r="G51" s="21">
        <f t="shared" si="0"/>
        <v>1.8136787855739894E-2</v>
      </c>
      <c r="H51" s="21">
        <f t="shared" si="2"/>
        <v>1.7215752605656495E-2</v>
      </c>
      <c r="I51" s="348"/>
      <c r="J51" s="348"/>
    </row>
    <row r="52" spans="1:10" s="1" customFormat="1" ht="15" customHeight="1" x14ac:dyDescent="0.2">
      <c r="A52" s="253" t="s">
        <v>67</v>
      </c>
      <c r="B52" s="18" t="s">
        <v>68</v>
      </c>
      <c r="C52" s="19">
        <f>'[4]F 4 TRI _ Granulo'!K39</f>
        <v>0</v>
      </c>
      <c r="D52" s="20">
        <f>'[4]F 4 TRI _ Granulo'!H39</f>
        <v>0</v>
      </c>
      <c r="E52" s="20">
        <f>'[4]F 4 TRI _ Granulo'!E39</f>
        <v>0</v>
      </c>
      <c r="F52" s="20">
        <f t="shared" si="1"/>
        <v>0</v>
      </c>
      <c r="G52" s="21">
        <f t="shared" si="0"/>
        <v>0</v>
      </c>
      <c r="H52" s="21">
        <f>J52</f>
        <v>0</v>
      </c>
      <c r="I52" s="254">
        <f>G52</f>
        <v>0</v>
      </c>
      <c r="J52" s="254">
        <f>'[4]Calcul sous cat &gt;20'!N18/100</f>
        <v>0</v>
      </c>
    </row>
    <row r="53" spans="1:10" s="1" customFormat="1" ht="15" customHeight="1" x14ac:dyDescent="0.2">
      <c r="A53" s="345" t="s">
        <v>69</v>
      </c>
      <c r="B53" s="18" t="s">
        <v>121</v>
      </c>
      <c r="C53" s="19">
        <f>'[4]F 4 TRI _ Granulo'!K40</f>
        <v>0</v>
      </c>
      <c r="D53" s="20">
        <f>'[4]F 4 TRI _ Granulo'!H40</f>
        <v>0</v>
      </c>
      <c r="E53" s="20">
        <f>'[4]F 4 TRI _ Granulo'!E40</f>
        <v>0</v>
      </c>
      <c r="F53" s="20">
        <f t="shared" si="1"/>
        <v>0</v>
      </c>
      <c r="G53" s="21">
        <f t="shared" si="0"/>
        <v>0</v>
      </c>
      <c r="H53" s="241">
        <f>G53*J53/I53</f>
        <v>0</v>
      </c>
      <c r="I53" s="348">
        <f>SUM(G53:G62)</f>
        <v>5.9101993192911635E-3</v>
      </c>
      <c r="J53" s="348">
        <f>'[4]Calcul sous cat &gt;20'!N19/100</f>
        <v>5.5476992569500486E-3</v>
      </c>
    </row>
    <row r="54" spans="1:10" s="1" customFormat="1" ht="15" customHeight="1" x14ac:dyDescent="0.2">
      <c r="A54" s="346"/>
      <c r="B54" s="18" t="s">
        <v>70</v>
      </c>
      <c r="C54" s="19">
        <f>'[4]F 4 TRI _ Granulo'!K41</f>
        <v>0</v>
      </c>
      <c r="D54" s="20">
        <f>'[4]F 4 TRI _ Granulo'!H41</f>
        <v>0</v>
      </c>
      <c r="E54" s="20">
        <f>'[4]F 4 TRI _ Granulo'!E41</f>
        <v>0</v>
      </c>
      <c r="F54" s="20">
        <f t="shared" si="1"/>
        <v>0</v>
      </c>
      <c r="G54" s="21">
        <f t="shared" si="0"/>
        <v>0</v>
      </c>
      <c r="H54" s="241">
        <f>G54*J53/I53</f>
        <v>0</v>
      </c>
      <c r="I54" s="348"/>
      <c r="J54" s="348"/>
    </row>
    <row r="55" spans="1:10" s="1" customFormat="1" ht="15" customHeight="1" x14ac:dyDescent="0.2">
      <c r="A55" s="346"/>
      <c r="B55" s="18" t="s">
        <v>71</v>
      </c>
      <c r="C55" s="19">
        <f>'[4]F 4 TRI _ Granulo'!K42</f>
        <v>0</v>
      </c>
      <c r="D55" s="20">
        <f>'[4]F 4 TRI _ Granulo'!H42</f>
        <v>0</v>
      </c>
      <c r="E55" s="20">
        <f>'[4]F 4 TRI _ Granulo'!E42</f>
        <v>0</v>
      </c>
      <c r="F55" s="20">
        <f>SUM(C55:E55)</f>
        <v>0</v>
      </c>
      <c r="G55" s="21">
        <f t="shared" si="0"/>
        <v>0</v>
      </c>
      <c r="H55" s="241">
        <f>G55*J53/I53</f>
        <v>0</v>
      </c>
      <c r="I55" s="348"/>
      <c r="J55" s="348"/>
    </row>
    <row r="56" spans="1:10" s="1" customFormat="1" ht="15" customHeight="1" x14ac:dyDescent="0.2">
      <c r="A56" s="346"/>
      <c r="B56" s="18" t="s">
        <v>72</v>
      </c>
      <c r="C56" s="19">
        <f>'[4]F 4 TRI _ Granulo'!K43</f>
        <v>0</v>
      </c>
      <c r="D56" s="20">
        <f>'[4]F 4 TRI _ Granulo'!H43</f>
        <v>0</v>
      </c>
      <c r="E56" s="20">
        <f>'[4]F 4 TRI _ Granulo'!E43</f>
        <v>0</v>
      </c>
      <c r="F56" s="20">
        <f t="shared" si="1"/>
        <v>0</v>
      </c>
      <c r="G56" s="21">
        <f>F56/$F$64</f>
        <v>0</v>
      </c>
      <c r="H56" s="241">
        <f>G56*J53/I53</f>
        <v>0</v>
      </c>
      <c r="I56" s="348"/>
      <c r="J56" s="348"/>
    </row>
    <row r="57" spans="1:10" s="1" customFormat="1" ht="17.25" customHeight="1" x14ac:dyDescent="0.2">
      <c r="A57" s="346"/>
      <c r="B57" s="18" t="s">
        <v>122</v>
      </c>
      <c r="C57" s="19">
        <f>'[4]F 4 TRI _ Granulo'!K44</f>
        <v>0</v>
      </c>
      <c r="D57" s="20">
        <f>'[4]F 4 TRI _ Granulo'!H44</f>
        <v>0</v>
      </c>
      <c r="E57" s="20">
        <f>'[4]F 4 TRI _ Granulo'!E44</f>
        <v>0</v>
      </c>
      <c r="F57" s="20">
        <f t="shared" si="1"/>
        <v>0</v>
      </c>
      <c r="G57" s="21">
        <f t="shared" ref="G57:G62" si="3">F57/$F$64</f>
        <v>0</v>
      </c>
      <c r="H57" s="241">
        <f>G57*J53/I53</f>
        <v>0</v>
      </c>
      <c r="I57" s="348"/>
      <c r="J57" s="348"/>
    </row>
    <row r="58" spans="1:10" s="1" customFormat="1" ht="17.25" customHeight="1" x14ac:dyDescent="0.2">
      <c r="A58" s="346"/>
      <c r="B58" s="18" t="s">
        <v>123</v>
      </c>
      <c r="C58" s="19">
        <f>'[4]F 4 TRI _ Granulo'!K45</f>
        <v>0</v>
      </c>
      <c r="D58" s="20">
        <f>'[4]F 4 TRI _ Granulo'!H45</f>
        <v>0</v>
      </c>
      <c r="E58" s="20">
        <f>'[4]F 4 TRI _ Granulo'!E45</f>
        <v>0</v>
      </c>
      <c r="F58" s="20">
        <f t="shared" si="1"/>
        <v>0</v>
      </c>
      <c r="G58" s="21">
        <f t="shared" si="3"/>
        <v>0</v>
      </c>
      <c r="H58" s="241">
        <f>G58*J53/I53</f>
        <v>0</v>
      </c>
      <c r="I58" s="348"/>
      <c r="J58" s="348"/>
    </row>
    <row r="59" spans="1:10" s="1" customFormat="1" ht="25.5" customHeight="1" x14ac:dyDescent="0.2">
      <c r="A59" s="346"/>
      <c r="B59" s="18" t="s">
        <v>124</v>
      </c>
      <c r="C59" s="19">
        <f>'[4]F 4 TRI _ Granulo'!K46</f>
        <v>0</v>
      </c>
      <c r="D59" s="20">
        <f>'[4]F 4 TRI _ Granulo'!H46</f>
        <v>0</v>
      </c>
      <c r="E59" s="20">
        <f>'[4]F 4 TRI _ Granulo'!E46</f>
        <v>0</v>
      </c>
      <c r="F59" s="20">
        <f t="shared" si="1"/>
        <v>0</v>
      </c>
      <c r="G59" s="21">
        <f t="shared" si="3"/>
        <v>0</v>
      </c>
      <c r="H59" s="241">
        <f>G59*J53/I53</f>
        <v>0</v>
      </c>
      <c r="I59" s="348"/>
      <c r="J59" s="348"/>
    </row>
    <row r="60" spans="1:10" ht="25.5" x14ac:dyDescent="0.25">
      <c r="A60" s="346"/>
      <c r="B60" s="18" t="s">
        <v>125</v>
      </c>
      <c r="C60" s="19">
        <f>'[4]F 4 TRI _ Granulo'!K47</f>
        <v>0</v>
      </c>
      <c r="D60" s="20">
        <f>'[4]F 4 TRI _ Granulo'!H47</f>
        <v>0</v>
      </c>
      <c r="E60" s="20">
        <f>'[4]F 4 TRI _ Granulo'!E47</f>
        <v>0</v>
      </c>
      <c r="F60" s="20">
        <f t="shared" si="1"/>
        <v>0</v>
      </c>
      <c r="G60" s="21">
        <f t="shared" si="3"/>
        <v>0</v>
      </c>
      <c r="H60" s="241">
        <f>G60*J53/I53</f>
        <v>0</v>
      </c>
      <c r="I60" s="348"/>
      <c r="J60" s="348"/>
    </row>
    <row r="61" spans="1:10" ht="38.25" x14ac:dyDescent="0.25">
      <c r="A61" s="346"/>
      <c r="B61" s="18" t="s">
        <v>126</v>
      </c>
      <c r="C61" s="19">
        <f>'[4]F 4 TRI _ Granulo'!K48</f>
        <v>0</v>
      </c>
      <c r="D61" s="20">
        <f>'[4]F 4 TRI _ Granulo'!H48</f>
        <v>2.0000000000000018E-2</v>
      </c>
      <c r="E61" s="20">
        <f>'[4]F 4 TRI _ Granulo'!E48</f>
        <v>0</v>
      </c>
      <c r="F61" s="20">
        <f t="shared" si="1"/>
        <v>2.0000000000000018E-2</v>
      </c>
      <c r="G61" s="21">
        <f t="shared" si="3"/>
        <v>2.4262349604101178E-4</v>
      </c>
      <c r="H61" s="241">
        <f>G61*J53/I53</f>
        <v>2.2774226654453611E-4</v>
      </c>
      <c r="I61" s="348"/>
      <c r="J61" s="348"/>
    </row>
    <row r="62" spans="1:10" ht="51" x14ac:dyDescent="0.25">
      <c r="A62" s="358"/>
      <c r="B62" s="18" t="s">
        <v>73</v>
      </c>
      <c r="C62" s="19">
        <f>'[4]F 4 TRI _ Granulo'!K49</f>
        <v>0.46719101123595541</v>
      </c>
      <c r="D62" s="20">
        <f>'[4]F 4 TRI _ Granulo'!H49</f>
        <v>0</v>
      </c>
      <c r="E62" s="20">
        <f>'[4]F 4 TRI _ Granulo'!E49</f>
        <v>0</v>
      </c>
      <c r="F62" s="20">
        <f t="shared" si="1"/>
        <v>0.46719101123595541</v>
      </c>
      <c r="G62" s="21">
        <f t="shared" si="3"/>
        <v>5.6675758232501514E-3</v>
      </c>
      <c r="H62" s="241">
        <f>G62*J53/I53</f>
        <v>5.3199569904055118E-3</v>
      </c>
      <c r="I62" s="348"/>
      <c r="J62" s="348"/>
    </row>
    <row r="63" spans="1:10" x14ac:dyDescent="0.25">
      <c r="A63" s="22" t="s">
        <v>74</v>
      </c>
      <c r="B63" s="23">
        <f>'[4]F 3 _ Criblage et Tri'!C27+'[4]F 3 _ Criblage et Tri'!D27</f>
        <v>5.74</v>
      </c>
      <c r="C63" s="19">
        <f>'[4]F 4 TRI _ Granulo'!K50</f>
        <v>0.46719101123595541</v>
      </c>
      <c r="D63" s="20">
        <f>'[4]F 4 TRI _ Granulo'!H50</f>
        <v>0.24000000000000021</v>
      </c>
      <c r="E63" s="20">
        <f>'[4]F 4 TRI _ Granulo'!E50</f>
        <v>0</v>
      </c>
      <c r="F63" s="19">
        <f>SUM(B63:E63)</f>
        <v>6.4471910112359563</v>
      </c>
      <c r="G63" s="21">
        <f t="shared" si="0"/>
        <v>7.8212001139512627E-2</v>
      </c>
      <c r="H63" s="21">
        <f>J63</f>
        <v>3.838311480725036E-2</v>
      </c>
      <c r="I63" s="24">
        <f>G63</f>
        <v>7.8212001139512627E-2</v>
      </c>
      <c r="J63" s="24">
        <f>'[4]Calcul sous cat &gt;20'!N20/100</f>
        <v>3.838311480725036E-2</v>
      </c>
    </row>
    <row r="64" spans="1:10" x14ac:dyDescent="0.25">
      <c r="A64" s="25" t="s">
        <v>25</v>
      </c>
      <c r="B64" s="90">
        <f>B63</f>
        <v>5.74</v>
      </c>
      <c r="C64" s="19">
        <f>SUM(C18:C63)</f>
        <v>42.592247191011232</v>
      </c>
      <c r="D64" s="19">
        <f>SUM(D18:D63)</f>
        <v>30.740000000000002</v>
      </c>
      <c r="E64" s="19">
        <f>SUM(E18:E63)</f>
        <v>3.3600000000000003</v>
      </c>
      <c r="F64" s="19">
        <f>SUM(B64:E64)</f>
        <v>82.432247191011228</v>
      </c>
      <c r="G64" s="21">
        <f t="shared" si="0"/>
        <v>1</v>
      </c>
      <c r="H64" s="21">
        <f>SUM(H18:H63)</f>
        <v>1.0000000000000002</v>
      </c>
      <c r="I64" s="24">
        <f>SUM(I18:I63)</f>
        <v>1.0000000000000002</v>
      </c>
      <c r="J64" s="24">
        <f>SUM(J18:J63)</f>
        <v>1.0000000000000002</v>
      </c>
    </row>
    <row r="65" spans="1:10" ht="51.75" x14ac:dyDescent="0.25">
      <c r="A65" s="26" t="s">
        <v>75</v>
      </c>
      <c r="B65" s="235">
        <f>B64/$F$64</f>
        <v>6.9632943363770322E-2</v>
      </c>
      <c r="C65" s="235">
        <f>C64/$F$64</f>
        <v>0.51669399588630505</v>
      </c>
      <c r="D65" s="235">
        <f>D64/$F$64</f>
        <v>0.37291231341503484</v>
      </c>
      <c r="E65" s="235">
        <f>E64/$F$64</f>
        <v>4.0760747334889949E-2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G29" sqref="G29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336" t="str">
        <f>'[5]F 1 _ Echant et Séchage'!D5</f>
        <v>ROM-A15-PB-BAN</v>
      </c>
      <c r="C2" s="336"/>
      <c r="D2" s="336"/>
      <c r="E2" s="336"/>
      <c r="F2" s="336"/>
      <c r="G2" s="2"/>
      <c r="H2" s="2"/>
      <c r="I2" s="2"/>
      <c r="J2" s="2"/>
    </row>
    <row r="3" spans="1:10" s="1" customFormat="1" ht="12.75" x14ac:dyDescent="0.2">
      <c r="A3" s="1" t="s">
        <v>1</v>
      </c>
      <c r="B3" s="343" t="str">
        <f>'[5]F 1 _ Echant et Séchage'!D6</f>
        <v>CT 521 KJ - PANTIN</v>
      </c>
      <c r="C3" s="343"/>
      <c r="D3" s="343"/>
      <c r="E3" s="343"/>
      <c r="F3" s="343"/>
      <c r="G3" s="3"/>
      <c r="H3" s="3"/>
      <c r="I3" s="3"/>
      <c r="J3" s="3"/>
    </row>
    <row r="4" spans="1:10" s="1" customFormat="1" ht="12.75" x14ac:dyDescent="0.2">
      <c r="A4" s="1" t="s">
        <v>2</v>
      </c>
      <c r="B4" s="250"/>
      <c r="C4" s="250" t="str">
        <f>'[5]F 1 _ Echant et Séchage'!D8</f>
        <v>ROMAINVILLE</v>
      </c>
      <c r="D4" s="250"/>
      <c r="E4" s="250"/>
      <c r="F4" s="250"/>
      <c r="G4" s="3"/>
      <c r="H4" s="3"/>
      <c r="I4" s="3"/>
      <c r="J4" s="3"/>
    </row>
    <row r="5" spans="1:10" s="1" customFormat="1" ht="12.75" x14ac:dyDescent="0.2">
      <c r="A5" s="1" t="s">
        <v>3</v>
      </c>
      <c r="B5" s="250"/>
      <c r="C5" s="250" t="str">
        <f>'[5]F 1 _ Echant et Séchage'!E15</f>
        <v>humide, nuageux</v>
      </c>
      <c r="D5" s="250"/>
      <c r="E5" s="250"/>
      <c r="F5" s="250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'[5]F 1 _ Echant et Séchage'!B12</f>
        <v>42263</v>
      </c>
      <c r="D9" s="337" t="s">
        <v>6</v>
      </c>
      <c r="E9" s="337"/>
      <c r="F9" s="337"/>
      <c r="G9" s="6">
        <f>'[5]F 1 _ Echant et Séchage'!G19</f>
        <v>129.5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'[5]F 1 _ Echant et Séchage'!E12</f>
        <v>9h45</v>
      </c>
      <c r="D10" s="337" t="s">
        <v>9</v>
      </c>
      <c r="E10" s="337"/>
      <c r="F10" s="337"/>
      <c r="G10" s="250">
        <f>'[5]F 1 _ Echant et Séchage'!H26</f>
        <v>0.44</v>
      </c>
      <c r="H10" s="250"/>
      <c r="I10" s="9"/>
      <c r="J10" s="1" t="s">
        <v>10</v>
      </c>
    </row>
    <row r="11" spans="1:10" s="1" customFormat="1" ht="12.75" x14ac:dyDescent="0.2">
      <c r="B11" s="337"/>
      <c r="C11" s="337"/>
      <c r="D11" s="337" t="s">
        <v>11</v>
      </c>
      <c r="E11" s="337"/>
      <c r="F11" s="337"/>
      <c r="G11" s="10">
        <f>G9/1000/G10</f>
        <v>0.29431818181818181</v>
      </c>
      <c r="H11" s="10"/>
      <c r="I11" s="3"/>
      <c r="J11" s="3" t="s">
        <v>12</v>
      </c>
    </row>
    <row r="12" spans="1:10" s="1" customFormat="1" ht="12.75" x14ac:dyDescent="0.2">
      <c r="B12" s="7"/>
      <c r="D12" s="337" t="s">
        <v>13</v>
      </c>
      <c r="E12" s="337"/>
      <c r="F12" s="337"/>
      <c r="G12" s="236">
        <f>'[5]F 1 _ Echant et Séchage'!D51</f>
        <v>0.37204633204633186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s="1" customFormat="1" ht="15" customHeight="1" x14ac:dyDescent="0.2">
      <c r="A18" s="349" t="s">
        <v>26</v>
      </c>
      <c r="B18" s="18" t="s">
        <v>119</v>
      </c>
      <c r="C18" s="19">
        <f>'[5]F 4 TRI _ Granulo'!K5</f>
        <v>1.0347791164658642</v>
      </c>
      <c r="D18" s="20">
        <f>'[5]F 4 TRI _ Granulo'!H5</f>
        <v>0.1100000000000001</v>
      </c>
      <c r="E18" s="20">
        <f>'[5]F 4 TRI _ Granulo'!E5</f>
        <v>0</v>
      </c>
      <c r="F18" s="20">
        <f>SUM(C18:E18)</f>
        <v>1.1447791164658643</v>
      </c>
      <c r="G18" s="21">
        <f t="shared" ref="G18:G64" si="0">F18/$F$64</f>
        <v>1.3910034939782561E-2</v>
      </c>
      <c r="H18" s="21">
        <f>G18*J18/I18</f>
        <v>2.9643617124556008E-2</v>
      </c>
      <c r="I18" s="344">
        <f>G18+G19+G20+G21+G22</f>
        <v>0.11755480080420058</v>
      </c>
      <c r="J18" s="344">
        <f>'[5]Calcul sous cat &gt;20'!N8/100</f>
        <v>0.25052054299495841</v>
      </c>
    </row>
    <row r="19" spans="1:10" s="1" customFormat="1" ht="15" customHeight="1" x14ac:dyDescent="0.2">
      <c r="A19" s="350"/>
      <c r="B19" s="18" t="s">
        <v>27</v>
      </c>
      <c r="C19" s="19">
        <f>'[5]F 4 TRI _ Granulo'!K6</f>
        <v>7.8802409638554227</v>
      </c>
      <c r="D19" s="20">
        <f>'[5]F 4 TRI _ Granulo'!H6</f>
        <v>0.57000000000000028</v>
      </c>
      <c r="E19" s="20">
        <f>'[5]F 4 TRI _ Granulo'!E6</f>
        <v>0</v>
      </c>
      <c r="F19" s="20">
        <f>SUM(C19:E19)</f>
        <v>8.450240963855423</v>
      </c>
      <c r="G19" s="21">
        <f t="shared" si="0"/>
        <v>0.1026775780289278</v>
      </c>
      <c r="H19" s="21">
        <f>G19*J18/I18</f>
        <v>0.21881575593036137</v>
      </c>
      <c r="I19" s="344"/>
      <c r="J19" s="344"/>
    </row>
    <row r="20" spans="1:10" s="1" customFormat="1" ht="15" customHeight="1" x14ac:dyDescent="0.2">
      <c r="A20" s="350"/>
      <c r="B20" s="18" t="s">
        <v>28</v>
      </c>
      <c r="C20" s="19">
        <f>'[5]F 4 TRI _ Granulo'!K7</f>
        <v>0</v>
      </c>
      <c r="D20" s="20">
        <f>'[5]F 4 TRI _ Granulo'!H7</f>
        <v>0</v>
      </c>
      <c r="E20" s="20">
        <f>'[5]F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s="1" customFormat="1" ht="15" customHeight="1" x14ac:dyDescent="0.2">
      <c r="A21" s="350"/>
      <c r="B21" s="18" t="s">
        <v>29</v>
      </c>
      <c r="C21" s="19">
        <f>'[5]F 4 TRI _ Granulo'!K8</f>
        <v>7.9598393574297252E-2</v>
      </c>
      <c r="D21" s="20">
        <f>'[5]F 4 TRI _ Granulo'!H8</f>
        <v>0</v>
      </c>
      <c r="E21" s="20">
        <f>'[5]F 4 TRI _ Granulo'!E8</f>
        <v>0</v>
      </c>
      <c r="F21" s="20">
        <f t="shared" si="1"/>
        <v>7.9598393574297252E-2</v>
      </c>
      <c r="G21" s="21">
        <f t="shared" si="0"/>
        <v>9.6718783549023114E-4</v>
      </c>
      <c r="H21" s="21">
        <f>G21*J18/I18</f>
        <v>2.0611699400410457E-3</v>
      </c>
      <c r="I21" s="344"/>
      <c r="J21" s="344"/>
    </row>
    <row r="22" spans="1:10" s="1" customFormat="1" ht="15" customHeight="1" x14ac:dyDescent="0.2">
      <c r="A22" s="351"/>
      <c r="B22" s="18" t="s">
        <v>30</v>
      </c>
      <c r="C22" s="19">
        <f>'[5]F 4 TRI _ Granulo'!K9</f>
        <v>0</v>
      </c>
      <c r="D22" s="20">
        <f>'[5]F 4 TRI _ Granulo'!H9</f>
        <v>0</v>
      </c>
      <c r="E22" s="20">
        <f>'[5]F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344"/>
      <c r="J22" s="344"/>
    </row>
    <row r="23" spans="1:10" s="1" customFormat="1" ht="15" customHeight="1" x14ac:dyDescent="0.2">
      <c r="A23" s="345" t="s">
        <v>31</v>
      </c>
      <c r="B23" s="18" t="s">
        <v>32</v>
      </c>
      <c r="C23" s="19">
        <f>'[5]F 4 TRI _ Granulo'!K10</f>
        <v>0.55718875502008081</v>
      </c>
      <c r="D23" s="20">
        <f>'[5]F 4 TRI _ Granulo'!H10</f>
        <v>0.21000000000000019</v>
      </c>
      <c r="E23" s="20">
        <f>'[5]F 4 TRI _ Granulo'!E10</f>
        <v>0</v>
      </c>
      <c r="F23" s="20">
        <f t="shared" si="1"/>
        <v>0.76718875502008099</v>
      </c>
      <c r="G23" s="21">
        <f t="shared" si="0"/>
        <v>9.3219925435771376E-3</v>
      </c>
      <c r="H23" s="21">
        <f>'[5]Calcul sous cat &gt;20'!N32/100</f>
        <v>8.2897775784404985E-3</v>
      </c>
      <c r="I23" s="348">
        <f>G23+G24+G25+G26+G27</f>
        <v>0.13232173879096643</v>
      </c>
      <c r="J23" s="348">
        <f>'[5]Calcul sous cat &gt;20'!N9/100</f>
        <v>0.11528136784019638</v>
      </c>
    </row>
    <row r="24" spans="1:10" s="1" customFormat="1" ht="15" customHeight="1" x14ac:dyDescent="0.2">
      <c r="A24" s="346"/>
      <c r="B24" s="18" t="s">
        <v>33</v>
      </c>
      <c r="C24" s="19">
        <f>'[5]F 4 TRI _ Granulo'!K11</f>
        <v>0</v>
      </c>
      <c r="D24" s="20">
        <f>'[5]F 4 TRI _ Granulo'!H11</f>
        <v>2.0500000000000003</v>
      </c>
      <c r="E24" s="20">
        <f>'[5]F 4 TRI _ Granulo'!E11</f>
        <v>0</v>
      </c>
      <c r="F24" s="20">
        <f t="shared" si="1"/>
        <v>2.0500000000000003</v>
      </c>
      <c r="G24" s="21">
        <f t="shared" si="0"/>
        <v>2.4909234643087193E-2</v>
      </c>
      <c r="H24" s="21">
        <f>'[5]Calcul sous cat &gt;20'!N33/100</f>
        <v>2.1383477929303129E-2</v>
      </c>
      <c r="I24" s="348"/>
      <c r="J24" s="348"/>
    </row>
    <row r="25" spans="1:10" s="1" customFormat="1" ht="15" customHeight="1" x14ac:dyDescent="0.2">
      <c r="A25" s="346"/>
      <c r="B25" s="18" t="s">
        <v>34</v>
      </c>
      <c r="C25" s="19">
        <f>'[5]F 4 TRI _ Granulo'!K12</f>
        <v>0.71638554216867534</v>
      </c>
      <c r="D25" s="20">
        <f>'[5]F 4 TRI _ Granulo'!H12</f>
        <v>1.67</v>
      </c>
      <c r="E25" s="20">
        <f>'[5]F 4 TRI _ Granulo'!E12</f>
        <v>0</v>
      </c>
      <c r="F25" s="20">
        <f t="shared" si="1"/>
        <v>2.386385542168675</v>
      </c>
      <c r="G25" s="21">
        <f t="shared" si="0"/>
        <v>2.8996603618902616E-2</v>
      </c>
      <c r="H25" s="21">
        <f>'[5]Calcul sous cat &gt;20'!N34/100</f>
        <v>2.489230369354729E-2</v>
      </c>
      <c r="I25" s="348"/>
      <c r="J25" s="348"/>
    </row>
    <row r="26" spans="1:10" s="1" customFormat="1" ht="15" customHeight="1" x14ac:dyDescent="0.2">
      <c r="A26" s="346"/>
      <c r="B26" s="18" t="s">
        <v>35</v>
      </c>
      <c r="C26" s="19">
        <f>'[5]F 4 TRI _ Granulo'!K13</f>
        <v>1.0347791164658642</v>
      </c>
      <c r="D26" s="20">
        <f>'[5]F 4 TRI _ Granulo'!H13</f>
        <v>0.9700000000000002</v>
      </c>
      <c r="E26" s="20">
        <f>'[5]F 4 TRI _ Granulo'!E13</f>
        <v>0</v>
      </c>
      <c r="F26" s="20">
        <f t="shared" si="1"/>
        <v>2.0047791164658646</v>
      </c>
      <c r="G26" s="21">
        <f t="shared" si="0"/>
        <v>2.4359762643711824E-2</v>
      </c>
      <c r="H26" s="21">
        <f>'[5]Calcul sous cat &gt;20'!N35/100</f>
        <v>2.1114751535926176E-2</v>
      </c>
      <c r="I26" s="348"/>
      <c r="J26" s="348"/>
    </row>
    <row r="27" spans="1:10" s="1" customFormat="1" ht="15" customHeight="1" x14ac:dyDescent="0.2">
      <c r="A27" s="347"/>
      <c r="B27" s="18" t="s">
        <v>36</v>
      </c>
      <c r="C27" s="19">
        <f>'[5]F 4 TRI _ Granulo'!K14</f>
        <v>1.6715662650602423</v>
      </c>
      <c r="D27" s="20">
        <f>'[5]F 4 TRI _ Granulo'!H14</f>
        <v>1.35</v>
      </c>
      <c r="E27" s="20">
        <f>'[5]F 4 TRI _ Granulo'!E14</f>
        <v>0.66000000000000014</v>
      </c>
      <c r="F27" s="20">
        <f t="shared" si="1"/>
        <v>3.6815662650602423</v>
      </c>
      <c r="G27" s="21">
        <f t="shared" si="0"/>
        <v>4.473414534168766E-2</v>
      </c>
      <c r="H27" s="21">
        <f>'[5]Calcul sous cat &gt;20'!N36/100</f>
        <v>3.9601057102979308E-2</v>
      </c>
      <c r="I27" s="348"/>
      <c r="J27" s="348"/>
    </row>
    <row r="28" spans="1:10" s="1" customFormat="1" ht="15" customHeight="1" x14ac:dyDescent="0.2">
      <c r="A28" s="345" t="s">
        <v>37</v>
      </c>
      <c r="B28" s="18" t="s">
        <v>38</v>
      </c>
      <c r="C28" s="19">
        <f>'[5]F 4 TRI _ Granulo'!K15</f>
        <v>1.830763052208835</v>
      </c>
      <c r="D28" s="20">
        <f>'[5]F 4 TRI _ Granulo'!H15</f>
        <v>2.1400000000000006</v>
      </c>
      <c r="E28" s="20">
        <f>'[5]F 4 TRI _ Granulo'!E15</f>
        <v>0</v>
      </c>
      <c r="F28" s="20">
        <f t="shared" si="1"/>
        <v>3.9707630522088353</v>
      </c>
      <c r="G28" s="21">
        <f t="shared" si="0"/>
        <v>4.824813101442485E-2</v>
      </c>
      <c r="H28" s="21">
        <f>'[5]Calcul sous cat &gt;20'!N37/100</f>
        <v>4.193467667201066E-2</v>
      </c>
      <c r="I28" s="348">
        <f>G28+G29+G30</f>
        <v>0.11100944740489156</v>
      </c>
      <c r="J28" s="348">
        <f>'[5]Calcul sous cat &gt;20'!N10/100</f>
        <v>9.6728533429732269E-2</v>
      </c>
    </row>
    <row r="29" spans="1:10" s="1" customFormat="1" ht="15" customHeight="1" x14ac:dyDescent="0.2">
      <c r="A29" s="346"/>
      <c r="B29" s="18" t="s">
        <v>39</v>
      </c>
      <c r="C29" s="19">
        <f>'[5]F 4 TRI _ Granulo'!K16</f>
        <v>0.23879518072289177</v>
      </c>
      <c r="D29" s="20">
        <f>'[5]F 4 TRI _ Granulo'!H16</f>
        <v>2.0200000000000005</v>
      </c>
      <c r="E29" s="20">
        <f>'[5]F 4 TRI _ Granulo'!E16</f>
        <v>2.08</v>
      </c>
      <c r="F29" s="20">
        <f t="shared" si="1"/>
        <v>4.3387951807228919</v>
      </c>
      <c r="G29" s="21">
        <f t="shared" si="0"/>
        <v>5.2720032792645075E-2</v>
      </c>
      <c r="H29" s="21">
        <f>'[5]Calcul sous cat &gt;20'!N38/100</f>
        <v>4.5880222677403139E-2</v>
      </c>
      <c r="I29" s="348"/>
      <c r="J29" s="348"/>
    </row>
    <row r="30" spans="1:10" s="1" customFormat="1" ht="15" customHeight="1" x14ac:dyDescent="0.2">
      <c r="A30" s="347"/>
      <c r="B30" s="18" t="s">
        <v>40</v>
      </c>
      <c r="C30" s="19">
        <f>'[5]F 4 TRI _ Granulo'!K17</f>
        <v>0.71638554216867534</v>
      </c>
      <c r="D30" s="20">
        <f>'[5]F 4 TRI _ Granulo'!H17</f>
        <v>0.1100000000000001</v>
      </c>
      <c r="E30" s="20">
        <f>'[5]F 4 TRI _ Granulo'!E17</f>
        <v>0</v>
      </c>
      <c r="F30" s="20">
        <f t="shared" si="1"/>
        <v>0.82638554216867544</v>
      </c>
      <c r="G30" s="21">
        <f t="shared" si="0"/>
        <v>1.0041283597821639E-2</v>
      </c>
      <c r="H30" s="21">
        <f>'[5]Calcul sous cat &gt;20'!N39/100</f>
        <v>8.9136340803184638E-3</v>
      </c>
      <c r="I30" s="348"/>
      <c r="J30" s="348"/>
    </row>
    <row r="31" spans="1:10" s="1" customFormat="1" ht="15" customHeight="1" x14ac:dyDescent="0.2">
      <c r="A31" s="352" t="s">
        <v>41</v>
      </c>
      <c r="B31" s="18" t="s">
        <v>42</v>
      </c>
      <c r="C31" s="19">
        <f>'[5]F 4 TRI _ Granulo'!K18</f>
        <v>0</v>
      </c>
      <c r="D31" s="20">
        <f>'[5]F 4 TRI _ Granulo'!H18</f>
        <v>0.19000000000000017</v>
      </c>
      <c r="E31" s="20">
        <f>'[5]F 4 TRI _ Granulo'!E18</f>
        <v>0</v>
      </c>
      <c r="F31" s="20">
        <f t="shared" si="1"/>
        <v>0.19000000000000017</v>
      </c>
      <c r="G31" s="21">
        <f t="shared" si="0"/>
        <v>2.3086607717983268E-3</v>
      </c>
      <c r="H31" s="241">
        <f>G31*J31/I31</f>
        <v>2.5315190358977013E-3</v>
      </c>
      <c r="I31" s="355">
        <f>G31+G32+G33+G34</f>
        <v>1.1377876676231196E-2</v>
      </c>
      <c r="J31" s="355">
        <f>'[5]Calcul sous cat &gt;20'!N11/100</f>
        <v>1.2476199078628368E-2</v>
      </c>
    </row>
    <row r="32" spans="1:10" s="1" customFormat="1" ht="15" customHeight="1" x14ac:dyDescent="0.2">
      <c r="A32" s="353"/>
      <c r="B32" s="18" t="s">
        <v>43</v>
      </c>
      <c r="C32" s="19">
        <f>'[5]F 4 TRI _ Granulo'!K19</f>
        <v>0.71638554216867534</v>
      </c>
      <c r="D32" s="20">
        <f>'[5]F 4 TRI _ Granulo'!H19</f>
        <v>3.0000000000000027E-2</v>
      </c>
      <c r="E32" s="20">
        <f>'[5]F 4 TRI _ Granulo'!E19</f>
        <v>0</v>
      </c>
      <c r="F32" s="20">
        <f t="shared" si="1"/>
        <v>0.74638554216867536</v>
      </c>
      <c r="G32" s="21">
        <f t="shared" si="0"/>
        <v>9.0692159044328691E-3</v>
      </c>
      <c r="H32" s="241">
        <f>G32*J31/I31</f>
        <v>9.9446800427306654E-3</v>
      </c>
      <c r="I32" s="356"/>
      <c r="J32" s="356"/>
    </row>
    <row r="33" spans="1:10" s="1" customFormat="1" ht="15" customHeight="1" x14ac:dyDescent="0.2">
      <c r="A33" s="353"/>
      <c r="B33" s="18" t="s">
        <v>44</v>
      </c>
      <c r="C33" s="19">
        <f>'[5]F 4 TRI _ Granulo'!K20</f>
        <v>0</v>
      </c>
      <c r="D33" s="20">
        <f>'[5]F 4 TRI _ Granulo'!H20</f>
        <v>0</v>
      </c>
      <c r="E33" s="20">
        <f>'[5]F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356"/>
      <c r="J33" s="356"/>
    </row>
    <row r="34" spans="1:10" s="1" customFormat="1" ht="15" customHeight="1" x14ac:dyDescent="0.2">
      <c r="A34" s="354"/>
      <c r="B34" s="18" t="s">
        <v>120</v>
      </c>
      <c r="C34" s="19">
        <f>'[5]F 4 TRI _ Granulo'!K21</f>
        <v>0</v>
      </c>
      <c r="D34" s="20">
        <f>'[5]F 4 TRI _ Granulo'!H21</f>
        <v>0</v>
      </c>
      <c r="E34" s="20">
        <f>'[5]F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357"/>
      <c r="J34" s="357"/>
    </row>
    <row r="35" spans="1:10" s="1" customFormat="1" ht="15" customHeight="1" x14ac:dyDescent="0.2">
      <c r="A35" s="251" t="s">
        <v>45</v>
      </c>
      <c r="B35" s="18" t="s">
        <v>46</v>
      </c>
      <c r="C35" s="19">
        <f>'[5]F 4 TRI _ Granulo'!K22</f>
        <v>1.3531726907630532</v>
      </c>
      <c r="D35" s="20">
        <f>'[5]F 4 TRI _ Granulo'!H22</f>
        <v>1.9700000000000002</v>
      </c>
      <c r="E35" s="20">
        <f>'[5]F 4 TRI _ Granulo'!E22</f>
        <v>0.98</v>
      </c>
      <c r="F35" s="20">
        <f t="shared" si="1"/>
        <v>4.3031726907630539</v>
      </c>
      <c r="G35" s="21">
        <f t="shared" si="0"/>
        <v>5.228718939704477E-2</v>
      </c>
      <c r="H35" s="21">
        <f>'[5]Calcul sous cat &gt;20'!N43/100</f>
        <v>4.551304623056069E-2</v>
      </c>
      <c r="I35" s="252">
        <f>G35</f>
        <v>5.228718939704477E-2</v>
      </c>
      <c r="J35" s="252">
        <f>'[5]Calcul sous cat &gt;20'!N12/100</f>
        <v>4.551304623056069E-2</v>
      </c>
    </row>
    <row r="36" spans="1:10" s="1" customFormat="1" ht="15" customHeight="1" x14ac:dyDescent="0.2">
      <c r="A36" s="345" t="s">
        <v>47</v>
      </c>
      <c r="B36" s="18" t="s">
        <v>48</v>
      </c>
      <c r="C36" s="19">
        <f>'[5]F 4 TRI _ Granulo'!K23</f>
        <v>1.9899598393574296</v>
      </c>
      <c r="D36" s="20">
        <f>'[5]F 4 TRI _ Granulo'!H23</f>
        <v>0.37000000000000011</v>
      </c>
      <c r="E36" s="20">
        <f>'[5]F 4 TRI _ Granulo'!E23</f>
        <v>0</v>
      </c>
      <c r="F36" s="20">
        <f t="shared" si="1"/>
        <v>2.3599598393574297</v>
      </c>
      <c r="G36" s="21">
        <f t="shared" si="0"/>
        <v>2.8675508969178812E-2</v>
      </c>
      <c r="H36" s="21">
        <f>'[5]Calcul sous cat &gt;20'!N44/100</f>
        <v>2.6021014280115259E-2</v>
      </c>
      <c r="I36" s="348">
        <f>G36+G37</f>
        <v>6.7508930139954321E-2</v>
      </c>
      <c r="J36" s="348">
        <f>'[5]Calcul sous cat &gt;20'!N13/100</f>
        <v>6.052796918135038E-2</v>
      </c>
    </row>
    <row r="37" spans="1:10" s="1" customFormat="1" ht="15" customHeight="1" x14ac:dyDescent="0.2">
      <c r="A37" s="347"/>
      <c r="B37" s="18" t="s">
        <v>49</v>
      </c>
      <c r="C37" s="19">
        <f>'[5]F 4 TRI _ Granulo'!K24</f>
        <v>2.7859437751004021</v>
      </c>
      <c r="D37" s="20">
        <f>'[5]F 4 TRI _ Granulo'!H24</f>
        <v>0.41000000000000014</v>
      </c>
      <c r="E37" s="20">
        <f>'[5]F 4 TRI _ Granulo'!E24</f>
        <v>0</v>
      </c>
      <c r="F37" s="20">
        <f t="shared" si="1"/>
        <v>3.1959437751004023</v>
      </c>
      <c r="G37" s="21">
        <f t="shared" si="0"/>
        <v>3.8833421170775512E-2</v>
      </c>
      <c r="H37" s="21">
        <f>'[5]Calcul sous cat &gt;20'!N45/100</f>
        <v>3.4506954901235121E-2</v>
      </c>
      <c r="I37" s="348"/>
      <c r="J37" s="348"/>
    </row>
    <row r="38" spans="1:10" s="1" customFormat="1" ht="15" customHeight="1" x14ac:dyDescent="0.2">
      <c r="A38" s="345" t="s">
        <v>50</v>
      </c>
      <c r="B38" s="18" t="s">
        <v>51</v>
      </c>
      <c r="C38" s="19">
        <f>'[5]F 4 TRI _ Granulo'!K25</f>
        <v>0.71638554216867534</v>
      </c>
      <c r="D38" s="20">
        <f>'[5]F 4 TRI _ Granulo'!H25</f>
        <v>5.9300000000000015</v>
      </c>
      <c r="E38" s="20">
        <f>'[5]F 4 TRI _ Granulo'!E25</f>
        <v>0</v>
      </c>
      <c r="F38" s="20">
        <f t="shared" si="1"/>
        <v>6.6463855421686766</v>
      </c>
      <c r="G38" s="21">
        <f t="shared" si="0"/>
        <v>8.0759208291854553E-2</v>
      </c>
      <c r="H38" s="21">
        <f>'[5]Calcul sous cat &gt;20'!N46/100</f>
        <v>8.0507493593101082E-2</v>
      </c>
      <c r="I38" s="348">
        <f>G38+G39+G40+G41+G42</f>
        <v>0.19780943178934632</v>
      </c>
      <c r="J38" s="348">
        <f>'[5]Calcul sous cat &gt;20'!N14/100</f>
        <v>0.19427615673925291</v>
      </c>
    </row>
    <row r="39" spans="1:10" s="1" customFormat="1" ht="15" customHeight="1" x14ac:dyDescent="0.2">
      <c r="A39" s="346"/>
      <c r="B39" s="18" t="s">
        <v>52</v>
      </c>
      <c r="C39" s="19">
        <f>'[5]F 4 TRI _ Granulo'!K26</f>
        <v>0.71638554216867534</v>
      </c>
      <c r="D39" s="20">
        <f>'[5]F 4 TRI _ Granulo'!H26</f>
        <v>1.0600000000000005</v>
      </c>
      <c r="E39" s="20">
        <f>'[5]F 4 TRI _ Granulo'!E26</f>
        <v>0</v>
      </c>
      <c r="F39" s="20">
        <f t="shared" si="1"/>
        <v>1.7763855421686758</v>
      </c>
      <c r="G39" s="21">
        <f t="shared" si="0"/>
        <v>2.1584587456813267E-2</v>
      </c>
      <c r="H39" s="21">
        <f>'[5]Calcul sous cat &gt;20'!N47/100</f>
        <v>1.9221285255991146E-2</v>
      </c>
      <c r="I39" s="348"/>
      <c r="J39" s="348"/>
    </row>
    <row r="40" spans="1:10" s="1" customFormat="1" ht="15" customHeight="1" x14ac:dyDescent="0.2">
      <c r="A40" s="346"/>
      <c r="B40" s="18" t="s">
        <v>53</v>
      </c>
      <c r="C40" s="19">
        <f>'[5]F 4 TRI _ Granulo'!K27</f>
        <v>0</v>
      </c>
      <c r="D40" s="20">
        <f>'[5]F 4 TRI _ Granulo'!H27</f>
        <v>0.43000000000000016</v>
      </c>
      <c r="E40" s="20">
        <f>'[5]F 4 TRI _ Granulo'!E27</f>
        <v>0</v>
      </c>
      <c r="F40" s="20">
        <f t="shared" si="1"/>
        <v>0.43000000000000016</v>
      </c>
      <c r="G40" s="21">
        <f t="shared" si="0"/>
        <v>5.2248638519646323E-3</v>
      </c>
      <c r="H40" s="21">
        <f>'[5]Calcul sous cat &gt;20'!N48/100</f>
        <v>4.6515959860163924E-3</v>
      </c>
      <c r="I40" s="348"/>
      <c r="J40" s="348"/>
    </row>
    <row r="41" spans="1:10" s="1" customFormat="1" ht="15" customHeight="1" x14ac:dyDescent="0.2">
      <c r="A41" s="346"/>
      <c r="B41" s="18" t="s">
        <v>54</v>
      </c>
      <c r="C41" s="19">
        <f>'[5]F 4 TRI _ Granulo'!K28</f>
        <v>1.9899598393574296</v>
      </c>
      <c r="D41" s="20">
        <f>'[5]F 4 TRI _ Granulo'!H28</f>
        <v>0.68000000000000016</v>
      </c>
      <c r="E41" s="20">
        <f>'[5]F 4 TRI _ Granulo'!E28</f>
        <v>6.0000000000000053E-2</v>
      </c>
      <c r="F41" s="20">
        <f t="shared" si="1"/>
        <v>2.7299598393574298</v>
      </c>
      <c r="G41" s="21">
        <f t="shared" si="0"/>
        <v>3.3171322051101869E-2</v>
      </c>
      <c r="H41" s="21">
        <f>'[5]Calcul sous cat &gt;20'!N49/100</f>
        <v>3.3041056234296054E-2</v>
      </c>
      <c r="I41" s="348"/>
      <c r="J41" s="348"/>
    </row>
    <row r="42" spans="1:10" s="1" customFormat="1" ht="27" customHeight="1" x14ac:dyDescent="0.2">
      <c r="A42" s="347"/>
      <c r="B42" s="18" t="s">
        <v>55</v>
      </c>
      <c r="C42" s="19">
        <f>'[5]F 4 TRI _ Granulo'!K29</f>
        <v>2.6267469879518077</v>
      </c>
      <c r="D42" s="20">
        <f>'[5]F 4 TRI _ Granulo'!H29</f>
        <v>2.0700000000000003</v>
      </c>
      <c r="E42" s="20">
        <f>'[5]F 4 TRI _ Granulo'!E29</f>
        <v>0</v>
      </c>
      <c r="F42" s="20">
        <f t="shared" si="1"/>
        <v>4.6967469879518084</v>
      </c>
      <c r="G42" s="21">
        <f t="shared" si="0"/>
        <v>5.7069450137611999E-2</v>
      </c>
      <c r="H42" s="21">
        <f>'[5]Calcul sous cat &gt;20'!N50/100</f>
        <v>5.6854725669848262E-2</v>
      </c>
      <c r="I42" s="348"/>
      <c r="J42" s="348"/>
    </row>
    <row r="43" spans="1:10" s="1" customFormat="1" ht="26.25" customHeight="1" x14ac:dyDescent="0.2">
      <c r="A43" s="251" t="s">
        <v>56</v>
      </c>
      <c r="B43" s="18" t="s">
        <v>56</v>
      </c>
      <c r="C43" s="19">
        <f>'[5]F 4 TRI _ Granulo'!K30</f>
        <v>0.71638554216867534</v>
      </c>
      <c r="D43" s="20">
        <f>'[5]F 4 TRI _ Granulo'!H30</f>
        <v>0.53000000000000025</v>
      </c>
      <c r="E43" s="20">
        <f>'[5]F 4 TRI _ Granulo'!E30</f>
        <v>2.0000000000000018E-2</v>
      </c>
      <c r="F43" s="20">
        <f t="shared" si="1"/>
        <v>1.2663855421686756</v>
      </c>
      <c r="G43" s="21">
        <f t="shared" si="0"/>
        <v>1.5387655911459866E-2</v>
      </c>
      <c r="H43" s="21">
        <f>J43</f>
        <v>1.3678717373608975E-2</v>
      </c>
      <c r="I43" s="252">
        <f>G43</f>
        <v>1.5387655911459866E-2</v>
      </c>
      <c r="J43" s="252">
        <f>'[5]Calcul sous cat &gt;20'!N15/100</f>
        <v>1.3678717373608975E-2</v>
      </c>
    </row>
    <row r="44" spans="1:10" s="1" customFormat="1" ht="15" customHeight="1" x14ac:dyDescent="0.2">
      <c r="A44" s="345" t="s">
        <v>57</v>
      </c>
      <c r="B44" s="18" t="s">
        <v>58</v>
      </c>
      <c r="C44" s="19">
        <f>'[5]F 4 TRI _ Granulo'!K31</f>
        <v>3.4227309236947807</v>
      </c>
      <c r="D44" s="20">
        <f>'[5]F 4 TRI _ Granulo'!H31</f>
        <v>3.6300000000000003</v>
      </c>
      <c r="E44" s="20">
        <f>'[5]F 4 TRI _ Granulo'!E31</f>
        <v>0</v>
      </c>
      <c r="F44" s="20">
        <f t="shared" si="1"/>
        <v>7.0527309236947815</v>
      </c>
      <c r="G44" s="21">
        <f t="shared" si="0"/>
        <v>8.5696648513595305E-2</v>
      </c>
      <c r="H44" s="21">
        <f>G44*J44/I44</f>
        <v>7.448768153124051E-2</v>
      </c>
      <c r="I44" s="348">
        <f>G44+G45</f>
        <v>0.10637211844391095</v>
      </c>
      <c r="J44" s="348">
        <f>'[5]Calcul sous cat &gt;20'!N16/100</f>
        <v>9.2458837304430025E-2</v>
      </c>
    </row>
    <row r="45" spans="1:10" s="1" customFormat="1" ht="15" customHeight="1" x14ac:dyDescent="0.2">
      <c r="A45" s="347"/>
      <c r="B45" s="18" t="s">
        <v>59</v>
      </c>
      <c r="C45" s="19">
        <f>'[5]F 4 TRI _ Granulo'!K32</f>
        <v>1.6715662650602423</v>
      </c>
      <c r="D45" s="20">
        <f>'[5]F 4 TRI _ Granulo'!H32</f>
        <v>3.0000000000000027E-2</v>
      </c>
      <c r="E45" s="20">
        <f>'[5]F 4 TRI _ Granulo'!E32</f>
        <v>0</v>
      </c>
      <c r="F45" s="20">
        <f t="shared" si="1"/>
        <v>1.7015662650602423</v>
      </c>
      <c r="G45" s="21">
        <f t="shared" si="0"/>
        <v>2.0675469930315642E-2</v>
      </c>
      <c r="H45" s="21">
        <f>G45*J44/I44</f>
        <v>1.7971155773189515E-2</v>
      </c>
      <c r="I45" s="348"/>
      <c r="J45" s="348"/>
    </row>
    <row r="46" spans="1:10" s="1" customFormat="1" ht="15" customHeight="1" x14ac:dyDescent="0.2">
      <c r="A46" s="345" t="s">
        <v>60</v>
      </c>
      <c r="B46" s="18" t="s">
        <v>61</v>
      </c>
      <c r="C46" s="19">
        <f>'[5]F 4 TRI _ Granulo'!K33</f>
        <v>2.7859437751004021</v>
      </c>
      <c r="D46" s="20">
        <f>'[5]F 4 TRI _ Granulo'!H33</f>
        <v>0.5900000000000003</v>
      </c>
      <c r="E46" s="20">
        <f>'[5]F 4 TRI _ Granulo'!E33</f>
        <v>0</v>
      </c>
      <c r="F46" s="20">
        <f t="shared" si="1"/>
        <v>3.3759437751004024</v>
      </c>
      <c r="G46" s="21">
        <f t="shared" si="0"/>
        <v>4.1020573480900241E-2</v>
      </c>
      <c r="H46" s="21">
        <f t="shared" ref="H46:H51" si="2">G46*$J$46/$I$46</f>
        <v>3.682060588044174E-2</v>
      </c>
      <c r="I46" s="348">
        <f>G46+G47+G50+G51+G48+G49</f>
        <v>5.316653979036131E-2</v>
      </c>
      <c r="J46" s="348">
        <f>'[5]Calcul sous cat &gt;20'!N17/100</f>
        <v>4.7722984871462489E-2</v>
      </c>
    </row>
    <row r="47" spans="1:10" s="1" customFormat="1" ht="15" customHeight="1" x14ac:dyDescent="0.2">
      <c r="A47" s="346"/>
      <c r="B47" s="18" t="s">
        <v>62</v>
      </c>
      <c r="C47" s="19">
        <f>'[5]F 4 TRI _ Granulo'!K34</f>
        <v>7.9598393574297252E-2</v>
      </c>
      <c r="D47" s="20">
        <f>'[5]F 4 TRI _ Granulo'!H34</f>
        <v>0.19000000000000017</v>
      </c>
      <c r="E47" s="20">
        <f>'[5]F 4 TRI _ Granulo'!E34</f>
        <v>0</v>
      </c>
      <c r="F47" s="20">
        <f t="shared" si="1"/>
        <v>0.26959839357429743</v>
      </c>
      <c r="G47" s="21">
        <f t="shared" si="0"/>
        <v>3.275848607288558E-3</v>
      </c>
      <c r="H47" s="21">
        <f t="shared" si="2"/>
        <v>2.9404447636288598E-3</v>
      </c>
      <c r="I47" s="348"/>
      <c r="J47" s="348"/>
    </row>
    <row r="48" spans="1:10" s="1" customFormat="1" ht="15" customHeight="1" x14ac:dyDescent="0.2">
      <c r="A48" s="346"/>
      <c r="B48" s="18" t="s">
        <v>63</v>
      </c>
      <c r="C48" s="19">
        <f>'[5]F 4 TRI _ Granulo'!K35</f>
        <v>0</v>
      </c>
      <c r="D48" s="20">
        <f>'[5]F 4 TRI _ Granulo'!H35</f>
        <v>0</v>
      </c>
      <c r="E48" s="20">
        <f>'[5]F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s="1" customFormat="1" ht="15" customHeight="1" x14ac:dyDescent="0.2">
      <c r="A49" s="346"/>
      <c r="B49" s="18" t="s">
        <v>64</v>
      </c>
      <c r="C49" s="19">
        <f>'[5]F 4 TRI _ Granulo'!K36</f>
        <v>0</v>
      </c>
      <c r="D49" s="20">
        <f>'[5]F 4 TRI _ Granulo'!H36</f>
        <v>0</v>
      </c>
      <c r="E49" s="20">
        <f>'[5]F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s="1" customFormat="1" ht="15" customHeight="1" x14ac:dyDescent="0.2">
      <c r="A50" s="346"/>
      <c r="B50" s="18" t="s">
        <v>65</v>
      </c>
      <c r="C50" s="19">
        <f>'[5]F 4 TRI _ Granulo'!K37</f>
        <v>0</v>
      </c>
      <c r="D50" s="20">
        <f>'[5]F 4 TRI _ Granulo'!H37</f>
        <v>0</v>
      </c>
      <c r="E50" s="20">
        <f>'[5]F 4 TRI _ Granulo'!E37</f>
        <v>0</v>
      </c>
      <c r="F50" s="20">
        <f t="shared" si="1"/>
        <v>0</v>
      </c>
      <c r="G50" s="21">
        <f t="shared" si="0"/>
        <v>0</v>
      </c>
      <c r="H50" s="21">
        <f t="shared" si="2"/>
        <v>0</v>
      </c>
      <c r="I50" s="348"/>
      <c r="J50" s="348"/>
    </row>
    <row r="51" spans="1:10" s="1" customFormat="1" ht="15" customHeight="1" x14ac:dyDescent="0.2">
      <c r="A51" s="347"/>
      <c r="B51" s="18" t="s">
        <v>66</v>
      </c>
      <c r="C51" s="19">
        <f>'[5]F 4 TRI _ Granulo'!K38</f>
        <v>0</v>
      </c>
      <c r="D51" s="20">
        <f>'[5]F 4 TRI _ Granulo'!H38</f>
        <v>0.73</v>
      </c>
      <c r="E51" s="20">
        <f>'[5]F 4 TRI _ Granulo'!E38</f>
        <v>0</v>
      </c>
      <c r="F51" s="20">
        <f t="shared" si="1"/>
        <v>0.73</v>
      </c>
      <c r="G51" s="21">
        <f t="shared" si="0"/>
        <v>8.8701177021725114E-3</v>
      </c>
      <c r="H51" s="21">
        <f t="shared" si="2"/>
        <v>7.9619342273918869E-3</v>
      </c>
      <c r="I51" s="348"/>
      <c r="J51" s="348"/>
    </row>
    <row r="52" spans="1:10" s="1" customFormat="1" ht="15" customHeight="1" x14ac:dyDescent="0.2">
      <c r="A52" s="253" t="s">
        <v>67</v>
      </c>
      <c r="B52" s="18" t="s">
        <v>68</v>
      </c>
      <c r="C52" s="19">
        <f>'[5]F 4 TRI _ Granulo'!K39</f>
        <v>7.9598393574297252E-2</v>
      </c>
      <c r="D52" s="20">
        <f>'[5]F 4 TRI _ Granulo'!H39</f>
        <v>9.000000000000008E-2</v>
      </c>
      <c r="E52" s="20">
        <f>'[5]F 4 TRI _ Granulo'!E39</f>
        <v>0</v>
      </c>
      <c r="F52" s="20">
        <f t="shared" si="1"/>
        <v>0.16959839357429735</v>
      </c>
      <c r="G52" s="21">
        <f t="shared" si="0"/>
        <v>2.0607639905525967E-3</v>
      </c>
      <c r="H52" s="21">
        <f>J52</f>
        <v>2.0455342330734688E-3</v>
      </c>
      <c r="I52" s="254">
        <f>G52</f>
        <v>2.0607639905525967E-3</v>
      </c>
      <c r="J52" s="254">
        <f>'[5]Calcul sous cat &gt;20'!N18/100</f>
        <v>2.0455342330734688E-3</v>
      </c>
    </row>
    <row r="53" spans="1:10" s="1" customFormat="1" ht="15" customHeight="1" x14ac:dyDescent="0.2">
      <c r="A53" s="345" t="s">
        <v>69</v>
      </c>
      <c r="B53" s="18" t="s">
        <v>121</v>
      </c>
      <c r="C53" s="19">
        <f>'[5]F 4 TRI _ Granulo'!K40</f>
        <v>0</v>
      </c>
      <c r="D53" s="20">
        <f>'[5]F 4 TRI _ Granulo'!H40</f>
        <v>0</v>
      </c>
      <c r="E53" s="20">
        <f>'[5]F 4 TRI _ Granulo'!E40</f>
        <v>0</v>
      </c>
      <c r="F53" s="20">
        <f t="shared" si="1"/>
        <v>0</v>
      </c>
      <c r="G53" s="21">
        <f t="shared" si="0"/>
        <v>0</v>
      </c>
      <c r="H53" s="175">
        <f>G53*J53/I53</f>
        <v>0</v>
      </c>
      <c r="I53" s="348">
        <f>SUM(G53:G62)</f>
        <v>8.7046905194120734E-3</v>
      </c>
      <c r="J53" s="348">
        <f>'[5]Calcul sous cat &gt;20'!N19/100</f>
        <v>7.7258489564242337E-3</v>
      </c>
    </row>
    <row r="54" spans="1:10" s="1" customFormat="1" ht="15" customHeight="1" x14ac:dyDescent="0.2">
      <c r="A54" s="346"/>
      <c r="B54" s="18" t="s">
        <v>70</v>
      </c>
      <c r="C54" s="19">
        <f>'[5]F 4 TRI _ Granulo'!K41</f>
        <v>7.9598393574297252E-2</v>
      </c>
      <c r="D54" s="20">
        <f>'[5]F 4 TRI _ Granulo'!H41</f>
        <v>0</v>
      </c>
      <c r="E54" s="20">
        <f>'[5]F 4 TRI _ Granulo'!E41</f>
        <v>0</v>
      </c>
      <c r="F54" s="20">
        <f t="shared" si="1"/>
        <v>7.9598393574297252E-2</v>
      </c>
      <c r="G54" s="21">
        <f t="shared" si="0"/>
        <v>9.6718783549023114E-4</v>
      </c>
      <c r="H54" s="21">
        <f>G54*J53/I53</f>
        <v>8.5842766182491555E-4</v>
      </c>
      <c r="I54" s="348"/>
      <c r="J54" s="348"/>
    </row>
    <row r="55" spans="1:10" s="1" customFormat="1" ht="15" customHeight="1" x14ac:dyDescent="0.2">
      <c r="A55" s="346"/>
      <c r="B55" s="18" t="s">
        <v>71</v>
      </c>
      <c r="C55" s="19">
        <f>'[5]F 4 TRI _ Granulo'!K42</f>
        <v>0.63678714859437746</v>
      </c>
      <c r="D55" s="20">
        <f>'[5]F 4 TRI _ Granulo'!H42</f>
        <v>0</v>
      </c>
      <c r="E55" s="20">
        <f>'[5]F 4 TRI _ Granulo'!E42</f>
        <v>0</v>
      </c>
      <c r="F55" s="20">
        <f>SUM(C55:E55)</f>
        <v>0.63678714859437746</v>
      </c>
      <c r="G55" s="21">
        <f t="shared" si="0"/>
        <v>7.7375026839218422E-3</v>
      </c>
      <c r="H55" s="241">
        <f>G55*J53/I53</f>
        <v>6.8674212945993183E-3</v>
      </c>
      <c r="I55" s="348"/>
      <c r="J55" s="348"/>
    </row>
    <row r="56" spans="1:10" s="1" customFormat="1" ht="15" customHeight="1" x14ac:dyDescent="0.2">
      <c r="A56" s="346"/>
      <c r="B56" s="18" t="s">
        <v>72</v>
      </c>
      <c r="C56" s="19">
        <f>'[5]F 4 TRI _ Granulo'!K43</f>
        <v>0</v>
      </c>
      <c r="D56" s="20">
        <f>'[5]F 4 TRI _ Granulo'!H43</f>
        <v>0</v>
      </c>
      <c r="E56" s="20">
        <f>'[5]F 4 TRI _ Granulo'!E43</f>
        <v>0</v>
      </c>
      <c r="F56" s="20">
        <f t="shared" si="1"/>
        <v>0</v>
      </c>
      <c r="G56" s="21">
        <f>F56/$F$64</f>
        <v>0</v>
      </c>
      <c r="H56" s="241">
        <f>G56*J53/I53</f>
        <v>0</v>
      </c>
      <c r="I56" s="348"/>
      <c r="J56" s="348"/>
    </row>
    <row r="57" spans="1:10" s="1" customFormat="1" ht="17.25" customHeight="1" x14ac:dyDescent="0.2">
      <c r="A57" s="346"/>
      <c r="B57" s="18" t="s">
        <v>122</v>
      </c>
      <c r="C57" s="19">
        <f>'[5]F 4 TRI _ Granulo'!K44</f>
        <v>0</v>
      </c>
      <c r="D57" s="20">
        <f>'[5]F 4 TRI _ Granulo'!H44</f>
        <v>0</v>
      </c>
      <c r="E57" s="20">
        <f>'[5]F 4 TRI _ Granulo'!E44</f>
        <v>0</v>
      </c>
      <c r="F57" s="20">
        <f t="shared" si="1"/>
        <v>0</v>
      </c>
      <c r="G57" s="21">
        <f t="shared" ref="G57:G62" si="3">F57/$F$64</f>
        <v>0</v>
      </c>
      <c r="H57" s="241">
        <f>G57*J53/I53</f>
        <v>0</v>
      </c>
      <c r="I57" s="348"/>
      <c r="J57" s="348"/>
    </row>
    <row r="58" spans="1:10" s="1" customFormat="1" ht="17.25" customHeight="1" x14ac:dyDescent="0.2">
      <c r="A58" s="346"/>
      <c r="B58" s="18" t="s">
        <v>123</v>
      </c>
      <c r="C58" s="19">
        <f>'[5]F 4 TRI _ Granulo'!K45</f>
        <v>0</v>
      </c>
      <c r="D58" s="20">
        <f>'[5]F 4 TRI _ Granulo'!H45</f>
        <v>0</v>
      </c>
      <c r="E58" s="20">
        <f>'[5]F 4 TRI _ Granulo'!E45</f>
        <v>0</v>
      </c>
      <c r="F58" s="20">
        <f t="shared" si="1"/>
        <v>0</v>
      </c>
      <c r="G58" s="21">
        <f t="shared" si="3"/>
        <v>0</v>
      </c>
      <c r="H58" s="241">
        <f>G58*J53/I53</f>
        <v>0</v>
      </c>
      <c r="I58" s="348"/>
      <c r="J58" s="348"/>
    </row>
    <row r="59" spans="1:10" s="1" customFormat="1" ht="25.5" customHeight="1" x14ac:dyDescent="0.2">
      <c r="A59" s="346"/>
      <c r="B59" s="18" t="s">
        <v>124</v>
      </c>
      <c r="C59" s="19">
        <f>'[5]F 4 TRI _ Granulo'!K46</f>
        <v>0</v>
      </c>
      <c r="D59" s="20">
        <f>'[5]F 4 TRI _ Granulo'!H46</f>
        <v>0</v>
      </c>
      <c r="E59" s="20">
        <f>'[5]F 4 TRI _ Granulo'!E46</f>
        <v>0</v>
      </c>
      <c r="F59" s="20">
        <f t="shared" si="1"/>
        <v>0</v>
      </c>
      <c r="G59" s="21">
        <f t="shared" si="3"/>
        <v>0</v>
      </c>
      <c r="H59" s="241">
        <f>G59*J53/I53</f>
        <v>0</v>
      </c>
      <c r="I59" s="348"/>
      <c r="J59" s="348"/>
    </row>
    <row r="60" spans="1:10" ht="25.5" x14ac:dyDescent="0.25">
      <c r="A60" s="346"/>
      <c r="B60" s="18" t="s">
        <v>125</v>
      </c>
      <c r="C60" s="19">
        <f>'[5]F 4 TRI _ Granulo'!K47</f>
        <v>0</v>
      </c>
      <c r="D60" s="20">
        <f>'[5]F 4 TRI _ Granulo'!H47</f>
        <v>0</v>
      </c>
      <c r="E60" s="20">
        <f>'[5]F 4 TRI _ Granulo'!E47</f>
        <v>0</v>
      </c>
      <c r="F60" s="20">
        <f t="shared" si="1"/>
        <v>0</v>
      </c>
      <c r="G60" s="21">
        <f t="shared" si="3"/>
        <v>0</v>
      </c>
      <c r="H60" s="241">
        <f>G60*J53/I53</f>
        <v>0</v>
      </c>
      <c r="I60" s="348"/>
      <c r="J60" s="348"/>
    </row>
    <row r="61" spans="1:10" ht="38.25" x14ac:dyDescent="0.25">
      <c r="A61" s="346"/>
      <c r="B61" s="18" t="s">
        <v>126</v>
      </c>
      <c r="C61" s="19">
        <f>'[5]F 4 TRI _ Granulo'!K48</f>
        <v>0</v>
      </c>
      <c r="D61" s="20">
        <f>'[5]F 4 TRI _ Granulo'!H48</f>
        <v>0</v>
      </c>
      <c r="E61" s="20">
        <f>'[5]F 4 TRI _ Granulo'!E48</f>
        <v>0</v>
      </c>
      <c r="F61" s="20">
        <f t="shared" si="1"/>
        <v>0</v>
      </c>
      <c r="G61" s="21">
        <f t="shared" si="3"/>
        <v>0</v>
      </c>
      <c r="H61" s="241">
        <f>G61*J53/I53</f>
        <v>0</v>
      </c>
      <c r="I61" s="348"/>
      <c r="J61" s="348"/>
    </row>
    <row r="62" spans="1:10" ht="51" x14ac:dyDescent="0.25">
      <c r="A62" s="358"/>
      <c r="B62" s="18" t="s">
        <v>73</v>
      </c>
      <c r="C62" s="19">
        <f>'[5]F 4 TRI _ Granulo'!K49</f>
        <v>0</v>
      </c>
      <c r="D62" s="20">
        <f>'[5]F 4 TRI _ Granulo'!H49</f>
        <v>0</v>
      </c>
      <c r="E62" s="20">
        <f>'[5]F 4 TRI _ Granulo'!E49</f>
        <v>0</v>
      </c>
      <c r="F62" s="20">
        <f t="shared" si="1"/>
        <v>0</v>
      </c>
      <c r="G62" s="21">
        <f t="shared" si="3"/>
        <v>0</v>
      </c>
      <c r="H62" s="241">
        <f>G62*J53/I53</f>
        <v>0</v>
      </c>
      <c r="I62" s="348"/>
      <c r="J62" s="348"/>
    </row>
    <row r="63" spans="1:10" x14ac:dyDescent="0.25">
      <c r="A63" s="22" t="s">
        <v>74</v>
      </c>
      <c r="B63" s="23">
        <f>'[5]F 3 _ Criblage et Tri'!C27+'[5]F 3 _ Criblage et Tri'!D27</f>
        <v>7.0400000000000009</v>
      </c>
      <c r="C63" s="19">
        <f>'[5]F 4 TRI _ Granulo'!K50</f>
        <v>1.7511646586345395</v>
      </c>
      <c r="D63" s="20">
        <f>'[5]F 4 TRI _ Granulo'!H50</f>
        <v>1.4500000000000002</v>
      </c>
      <c r="E63" s="20">
        <f>'[5]F 4 TRI _ Granulo'!E50</f>
        <v>0</v>
      </c>
      <c r="F63" s="19">
        <f>SUM(B63:E63)</f>
        <v>10.241164658634542</v>
      </c>
      <c r="G63" s="21">
        <f t="shared" si="0"/>
        <v>0.12443881634166816</v>
      </c>
      <c r="H63" s="21">
        <f>J63</f>
        <v>6.1044261766321259E-2</v>
      </c>
      <c r="I63" s="24">
        <f>G63</f>
        <v>0.12443881634166816</v>
      </c>
      <c r="J63" s="24">
        <f>'[5]Calcul sous cat &gt;20'!N20/100</f>
        <v>6.1044261766321259E-2</v>
      </c>
    </row>
    <row r="64" spans="1:10" x14ac:dyDescent="0.25">
      <c r="A64" s="25" t="s">
        <v>25</v>
      </c>
      <c r="B64" s="90">
        <f>B63</f>
        <v>7.0400000000000009</v>
      </c>
      <c r="C64" s="19">
        <f>SUM(C18:C63)</f>
        <v>39.878795180722896</v>
      </c>
      <c r="D64" s="19">
        <f>SUM(D18:D63)</f>
        <v>31.580000000000005</v>
      </c>
      <c r="E64" s="19">
        <f>SUM(E18:E63)</f>
        <v>3.8000000000000003</v>
      </c>
      <c r="F64" s="19">
        <f>SUM(B64:E64)</f>
        <v>82.298795180722905</v>
      </c>
      <c r="G64" s="21">
        <f t="shared" si="0"/>
        <v>1</v>
      </c>
      <c r="H64" s="21">
        <f>SUM(H18:H63)</f>
        <v>1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8.5541957018211628E-2</v>
      </c>
      <c r="C65" s="235">
        <f>C64/$F$64</f>
        <v>0.48456110558060544</v>
      </c>
      <c r="D65" s="235">
        <f>D64/$F$64</f>
        <v>0.38372372196521637</v>
      </c>
      <c r="E65" s="235">
        <f>E64/$F$64</f>
        <v>4.6173215435966503E-2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L19" sqref="L19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'[6]F 1 _ Echant et Séchage'!D5</f>
        <v>ROM-A15-PB-PAR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'[6]F 1 _ Echant et Séchage'!D6</f>
        <v>DF 871 MM 20E ARR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250"/>
      <c r="C4" s="250" t="str">
        <f>'[6]F 1 _ Echant et Séchage'!D8</f>
        <v>Romainville</v>
      </c>
      <c r="D4" s="250"/>
      <c r="E4" s="250"/>
      <c r="F4" s="250"/>
      <c r="G4" s="3"/>
      <c r="H4" s="3"/>
      <c r="I4" s="3"/>
      <c r="J4" s="3"/>
    </row>
    <row r="5" spans="1:10" x14ac:dyDescent="0.25">
      <c r="A5" s="1" t="s">
        <v>3</v>
      </c>
      <c r="B5" s="250"/>
      <c r="C5" s="250" t="str">
        <f>'[6]F 1 _ Echant et Séchage'!E15</f>
        <v>humide, nuageux, pluvieux</v>
      </c>
      <c r="D5" s="250"/>
      <c r="E5" s="250"/>
      <c r="F5" s="25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'[6]F 1 _ Echant et Séchage'!B12</f>
        <v>42263</v>
      </c>
      <c r="C9" s="1"/>
      <c r="D9" s="337" t="s">
        <v>6</v>
      </c>
      <c r="E9" s="337"/>
      <c r="F9" s="337"/>
      <c r="G9" s="6">
        <f>'[6]F 1 _ Echant et Séchage'!G19</f>
        <v>126.80000000000001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'[6]F 1 _ Echant et Séchage'!E12</f>
        <v>8H40</v>
      </c>
      <c r="C10" s="1"/>
      <c r="D10" s="337" t="s">
        <v>9</v>
      </c>
      <c r="E10" s="337"/>
      <c r="F10" s="337"/>
      <c r="G10" s="250">
        <f>'[6]F 1 _ Echant et Séchage'!H26</f>
        <v>0.55000000000000004</v>
      </c>
      <c r="H10" s="250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0.23054545454545458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6">
        <f>'[6]F 1 _ Echant et Séchage'!D51</f>
        <v>0.37425078864353317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ht="63.75" x14ac:dyDescent="0.25">
      <c r="A18" s="349" t="s">
        <v>26</v>
      </c>
      <c r="B18" s="18" t="s">
        <v>119</v>
      </c>
      <c r="C18" s="19">
        <f>'[6]F 4 TRI _ Granulo'!K5</f>
        <v>5.9274725274725286</v>
      </c>
      <c r="D18" s="20">
        <f>'[6]F 4 TRI _ Granulo'!H5</f>
        <v>1.9900000000000002</v>
      </c>
      <c r="E18" s="20">
        <f>'[6]F 4 TRI _ Granulo'!E5</f>
        <v>0</v>
      </c>
      <c r="F18" s="20">
        <f>SUM(C18:E18)</f>
        <v>7.9174725274725288</v>
      </c>
      <c r="G18" s="21">
        <f t="shared" ref="G18:G64" si="0">F18/$F$64</f>
        <v>0.10055687369155614</v>
      </c>
      <c r="H18" s="21">
        <f>G18*J18/I18</f>
        <v>0.20515892450148601</v>
      </c>
      <c r="I18" s="344">
        <f>G18+G19+G20+G21+G22</f>
        <v>0.15401674808094901</v>
      </c>
      <c r="J18" s="344">
        <f>'[6]Calcul sous cat &gt;20'!N8/100</f>
        <v>0.31422924392444707</v>
      </c>
    </row>
    <row r="19" spans="1:10" ht="51" x14ac:dyDescent="0.25">
      <c r="A19" s="350"/>
      <c r="B19" s="18" t="s">
        <v>27</v>
      </c>
      <c r="C19" s="19">
        <f>'[6]F 4 TRI _ Granulo'!K6</f>
        <v>3.5054945054945077</v>
      </c>
      <c r="D19" s="20">
        <f>'[6]F 4 TRI _ Granulo'!H6</f>
        <v>0.41000000000000014</v>
      </c>
      <c r="E19" s="20">
        <f>'[6]F 4 TRI _ Granulo'!E6</f>
        <v>0</v>
      </c>
      <c r="F19" s="20">
        <f>SUM(C19:E19)</f>
        <v>3.9154945054945078</v>
      </c>
      <c r="G19" s="21">
        <f t="shared" si="0"/>
        <v>4.9729239357990229E-2</v>
      </c>
      <c r="H19" s="21">
        <f>G19*J18/I18</f>
        <v>0.10145897429405613</v>
      </c>
      <c r="I19" s="344"/>
      <c r="J19" s="344"/>
    </row>
    <row r="20" spans="1:10" ht="25.5" x14ac:dyDescent="0.25">
      <c r="A20" s="350"/>
      <c r="B20" s="18" t="s">
        <v>28</v>
      </c>
      <c r="C20" s="19">
        <f>'[6]F 4 TRI _ Granulo'!K7</f>
        <v>0</v>
      </c>
      <c r="D20" s="20">
        <f>'[6]F 4 TRI _ Granulo'!H7</f>
        <v>0.22999999999999998</v>
      </c>
      <c r="E20" s="20">
        <f>'[6]F 4 TRI _ Granulo'!E7</f>
        <v>0</v>
      </c>
      <c r="F20" s="20">
        <f t="shared" ref="F20:F62" si="1">SUM(C20:E20)</f>
        <v>0.22999999999999998</v>
      </c>
      <c r="G20" s="21">
        <f t="shared" si="0"/>
        <v>2.9211444521981839E-3</v>
      </c>
      <c r="H20" s="21">
        <f>G20*J18/I18</f>
        <v>5.9597999830894267E-3</v>
      </c>
      <c r="I20" s="344"/>
      <c r="J20" s="344"/>
    </row>
    <row r="21" spans="1:10" ht="38.25" x14ac:dyDescent="0.25">
      <c r="A21" s="350"/>
      <c r="B21" s="18" t="s">
        <v>29</v>
      </c>
      <c r="C21" s="19">
        <f>'[6]F 4 TRI _ Granulo'!K8</f>
        <v>0</v>
      </c>
      <c r="D21" s="20">
        <f>'[6]F 4 TRI _ Granulo'!H8</f>
        <v>0</v>
      </c>
      <c r="E21" s="20">
        <f>'[6]F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344"/>
      <c r="J21" s="344"/>
    </row>
    <row r="22" spans="1:10" ht="38.25" x14ac:dyDescent="0.25">
      <c r="A22" s="351"/>
      <c r="B22" s="18" t="s">
        <v>30</v>
      </c>
      <c r="C22" s="19">
        <f>'[6]F 4 TRI _ Granulo'!K9</f>
        <v>6.3736263736263801E-2</v>
      </c>
      <c r="D22" s="20">
        <f>'[6]F 4 TRI _ Granulo'!H9</f>
        <v>0</v>
      </c>
      <c r="E22" s="20">
        <f>'[6]F 4 TRI _ Granulo'!E9</f>
        <v>0</v>
      </c>
      <c r="F22" s="20">
        <f t="shared" si="1"/>
        <v>6.3736263736263801E-2</v>
      </c>
      <c r="G22" s="21">
        <f t="shared" si="0"/>
        <v>8.0949057920446656E-4</v>
      </c>
      <c r="H22" s="21">
        <f>G22*J18/I18</f>
        <v>1.6515451458155143E-3</v>
      </c>
      <c r="I22" s="344"/>
      <c r="J22" s="344"/>
    </row>
    <row r="23" spans="1:10" ht="25.5" x14ac:dyDescent="0.25">
      <c r="A23" s="345" t="s">
        <v>31</v>
      </c>
      <c r="B23" s="18" t="s">
        <v>32</v>
      </c>
      <c r="C23" s="19">
        <f>'[6]F 4 TRI _ Granulo'!K10</f>
        <v>0.19120879120879142</v>
      </c>
      <c r="D23" s="20">
        <f>'[6]F 4 TRI _ Granulo'!H10</f>
        <v>1.4300000000000002</v>
      </c>
      <c r="E23" s="20">
        <f>'[6]F 4 TRI _ Granulo'!E10</f>
        <v>0</v>
      </c>
      <c r="F23" s="20">
        <f t="shared" si="1"/>
        <v>1.6212087912087916</v>
      </c>
      <c r="G23" s="21">
        <f t="shared" si="0"/>
        <v>2.0590369853454284E-2</v>
      </c>
      <c r="H23" s="21">
        <f>'[6]Calcul sous cat &gt;20'!N32/100</f>
        <v>1.769533394897339E-2</v>
      </c>
      <c r="I23" s="348">
        <f>G23+G24+G25+G26+G27</f>
        <v>0.15691137473831118</v>
      </c>
      <c r="J23" s="348">
        <f>'[6]Calcul sous cat &gt;20'!N9/100</f>
        <v>0.13126841440897821</v>
      </c>
    </row>
    <row r="24" spans="1:10" ht="38.25" x14ac:dyDescent="0.25">
      <c r="A24" s="346"/>
      <c r="B24" s="18" t="s">
        <v>33</v>
      </c>
      <c r="C24" s="19">
        <f>'[6]F 4 TRI _ Granulo'!K11</f>
        <v>0</v>
      </c>
      <c r="D24" s="20">
        <f>'[6]F 4 TRI _ Granulo'!H11</f>
        <v>8.07</v>
      </c>
      <c r="E24" s="20">
        <f>'[6]F 4 TRI _ Granulo'!E11</f>
        <v>0</v>
      </c>
      <c r="F24" s="20">
        <f t="shared" si="1"/>
        <v>8.07</v>
      </c>
      <c r="G24" s="21">
        <f t="shared" si="0"/>
        <v>0.10249406838799716</v>
      </c>
      <c r="H24" s="21">
        <f>'[6]Calcul sous cat &gt;20'!N33/100</f>
        <v>8.5157161952159707E-2</v>
      </c>
      <c r="I24" s="348"/>
      <c r="J24" s="348"/>
    </row>
    <row r="25" spans="1:10" ht="25.5" x14ac:dyDescent="0.25">
      <c r="A25" s="346"/>
      <c r="B25" s="18" t="s">
        <v>34</v>
      </c>
      <c r="C25" s="19">
        <f>'[6]F 4 TRI _ Granulo'!K12</f>
        <v>0.8285714285714294</v>
      </c>
      <c r="D25" s="20">
        <f>'[6]F 4 TRI _ Granulo'!H12</f>
        <v>0.1100000000000001</v>
      </c>
      <c r="E25" s="20">
        <f>'[6]F 4 TRI _ Granulo'!E12</f>
        <v>0</v>
      </c>
      <c r="F25" s="20">
        <f t="shared" si="1"/>
        <v>0.9385714285714295</v>
      </c>
      <c r="G25" s="21">
        <f t="shared" si="0"/>
        <v>1.192044661549198E-2</v>
      </c>
      <c r="H25" s="21">
        <f>'[6]Calcul sous cat &gt;20'!N34/100</f>
        <v>9.9040990268311185E-3</v>
      </c>
      <c r="I25" s="348"/>
      <c r="J25" s="348"/>
    </row>
    <row r="26" spans="1:10" ht="25.5" x14ac:dyDescent="0.25">
      <c r="A26" s="346"/>
      <c r="B26" s="18" t="s">
        <v>35</v>
      </c>
      <c r="C26" s="19">
        <f>'[6]F 4 TRI _ Granulo'!K13</f>
        <v>0.31868131868131899</v>
      </c>
      <c r="D26" s="20">
        <f>'[6]F 4 TRI _ Granulo'!H13</f>
        <v>0.83000000000000007</v>
      </c>
      <c r="E26" s="20">
        <f>'[6]F 4 TRI _ Granulo'!E13</f>
        <v>0</v>
      </c>
      <c r="F26" s="20">
        <f t="shared" si="1"/>
        <v>1.148681318681319</v>
      </c>
      <c r="G26" s="21">
        <f t="shared" si="0"/>
        <v>1.4588974180041866E-2</v>
      </c>
      <c r="H26" s="21">
        <f>'[6]Calcul sous cat &gt;20'!N35/100</f>
        <v>1.2241493515933432E-2</v>
      </c>
      <c r="I26" s="348"/>
      <c r="J26" s="348"/>
    </row>
    <row r="27" spans="1:10" ht="25.5" x14ac:dyDescent="0.25">
      <c r="A27" s="347"/>
      <c r="B27" s="18" t="s">
        <v>36</v>
      </c>
      <c r="C27" s="19">
        <f>'[6]F 4 TRI _ Granulo'!K14</f>
        <v>0.44615384615384662</v>
      </c>
      <c r="D27" s="20">
        <f>'[6]F 4 TRI _ Granulo'!H14</f>
        <v>0.13000000000000012</v>
      </c>
      <c r="E27" s="20">
        <f>'[6]F 4 TRI _ Granulo'!E14</f>
        <v>0</v>
      </c>
      <c r="F27" s="20">
        <f t="shared" si="1"/>
        <v>0.57615384615384668</v>
      </c>
      <c r="G27" s="21">
        <f t="shared" si="0"/>
        <v>7.3175157013258925E-3</v>
      </c>
      <c r="H27" s="21">
        <f>'[6]Calcul sous cat &gt;20'!N36/100</f>
        <v>6.2703259650805521E-3</v>
      </c>
      <c r="I27" s="348"/>
      <c r="J27" s="348"/>
    </row>
    <row r="28" spans="1:10" ht="25.5" x14ac:dyDescent="0.25">
      <c r="A28" s="345" t="s">
        <v>37</v>
      </c>
      <c r="B28" s="18" t="s">
        <v>38</v>
      </c>
      <c r="C28" s="19">
        <f>'[6]F 4 TRI _ Granulo'!K15</f>
        <v>1.0835164835164846</v>
      </c>
      <c r="D28" s="20">
        <f>'[6]F 4 TRI _ Granulo'!H15</f>
        <v>1.5100000000000002</v>
      </c>
      <c r="E28" s="20">
        <f>'[6]F 4 TRI _ Granulo'!E15</f>
        <v>0</v>
      </c>
      <c r="F28" s="20">
        <f t="shared" si="1"/>
        <v>2.5935164835164848</v>
      </c>
      <c r="G28" s="21">
        <f t="shared" si="0"/>
        <v>3.2939288206559662E-2</v>
      </c>
      <c r="H28" s="21">
        <f>'[6]Calcul sous cat &gt;20'!N37/100</f>
        <v>2.7493522340697112E-2</v>
      </c>
      <c r="I28" s="348">
        <f>G28+G29+G30</f>
        <v>6.7532449406838779E-2</v>
      </c>
      <c r="J28" s="348">
        <f>'[6]Calcul sous cat &gt;20'!N10/100</f>
        <v>5.6501749600846161E-2</v>
      </c>
    </row>
    <row r="29" spans="1:10" ht="38.25" x14ac:dyDescent="0.25">
      <c r="A29" s="346"/>
      <c r="B29" s="18" t="s">
        <v>39</v>
      </c>
      <c r="C29" s="19">
        <f>'[6]F 4 TRI _ Granulo'!K16</f>
        <v>6.3736263736263801E-2</v>
      </c>
      <c r="D29" s="20">
        <f>'[6]F 4 TRI _ Granulo'!H16</f>
        <v>1.29</v>
      </c>
      <c r="E29" s="20">
        <f>'[6]F 4 TRI _ Granulo'!E16</f>
        <v>0.86000000000000032</v>
      </c>
      <c r="F29" s="20">
        <f t="shared" si="1"/>
        <v>2.2137362637362639</v>
      </c>
      <c r="G29" s="21">
        <f t="shared" si="0"/>
        <v>2.8115840893230971E-2</v>
      </c>
      <c r="H29" s="21">
        <f>'[6]Calcul sous cat &gt;20'!N38/100</f>
        <v>2.3486943803054144E-2</v>
      </c>
      <c r="I29" s="348"/>
      <c r="J29" s="348"/>
    </row>
    <row r="30" spans="1:10" ht="25.5" x14ac:dyDescent="0.25">
      <c r="A30" s="347"/>
      <c r="B30" s="18" t="s">
        <v>40</v>
      </c>
      <c r="C30" s="19">
        <f>'[6]F 4 TRI _ Granulo'!K17</f>
        <v>0</v>
      </c>
      <c r="D30" s="20">
        <f>'[6]F 4 TRI _ Granulo'!H17</f>
        <v>0.19000000000000017</v>
      </c>
      <c r="E30" s="20">
        <f>'[6]F 4 TRI _ Granulo'!E17</f>
        <v>0.32</v>
      </c>
      <c r="F30" s="20">
        <f t="shared" si="1"/>
        <v>0.51000000000000023</v>
      </c>
      <c r="G30" s="21">
        <f t="shared" si="0"/>
        <v>6.4773203070481499E-3</v>
      </c>
      <c r="H30" s="21">
        <f>'[6]Calcul sous cat &gt;20'!N39/100</f>
        <v>5.5212834570949089E-3</v>
      </c>
      <c r="I30" s="348"/>
      <c r="J30" s="348"/>
    </row>
    <row r="31" spans="1:10" ht="38.25" x14ac:dyDescent="0.25">
      <c r="A31" s="352" t="s">
        <v>41</v>
      </c>
      <c r="B31" s="18" t="s">
        <v>42</v>
      </c>
      <c r="C31" s="19">
        <f>'[6]F 4 TRI _ Granulo'!K18</f>
        <v>0.19120879120879142</v>
      </c>
      <c r="D31" s="20">
        <f>'[6]F 4 TRI _ Granulo'!H18</f>
        <v>0.31000000000000005</v>
      </c>
      <c r="E31" s="20">
        <f>'[6]F 4 TRI _ Granulo'!E18</f>
        <v>0</v>
      </c>
      <c r="F31" s="20">
        <f t="shared" si="1"/>
        <v>0.50120879120879147</v>
      </c>
      <c r="G31" s="21">
        <f t="shared" si="0"/>
        <v>6.3656664340544311E-3</v>
      </c>
      <c r="H31" s="241">
        <f>G31*J31/I31</f>
        <v>6.7046709898274234E-3</v>
      </c>
      <c r="I31" s="355">
        <f>G31+G32+G33+G34</f>
        <v>9.6831821353803235E-3</v>
      </c>
      <c r="J31" s="355">
        <f>'[6]Calcul sous cat &gt;20'!N11/100</f>
        <v>1.0198861505683552E-2</v>
      </c>
    </row>
    <row r="32" spans="1:10" ht="38.25" x14ac:dyDescent="0.25">
      <c r="A32" s="353"/>
      <c r="B32" s="18" t="s">
        <v>43</v>
      </c>
      <c r="C32" s="19">
        <f>'[6]F 4 TRI _ Granulo'!K19</f>
        <v>0.19120879120879142</v>
      </c>
      <c r="D32" s="20">
        <f>'[6]F 4 TRI _ Granulo'!H19</f>
        <v>7.0000000000000062E-2</v>
      </c>
      <c r="E32" s="20">
        <f>'[6]F 4 TRI _ Granulo'!E19</f>
        <v>0</v>
      </c>
      <c r="F32" s="20">
        <f t="shared" si="1"/>
        <v>0.26120879120879148</v>
      </c>
      <c r="G32" s="21">
        <f t="shared" si="0"/>
        <v>3.3175157013258915E-3</v>
      </c>
      <c r="H32" s="241">
        <f>G32*J31/I31</f>
        <v>3.4941905158561268E-3</v>
      </c>
      <c r="I32" s="356"/>
      <c r="J32" s="356"/>
    </row>
    <row r="33" spans="1:10" ht="51" x14ac:dyDescent="0.25">
      <c r="A33" s="353"/>
      <c r="B33" s="18" t="s">
        <v>44</v>
      </c>
      <c r="C33" s="19">
        <f>'[6]F 4 TRI _ Granulo'!K20</f>
        <v>0</v>
      </c>
      <c r="D33" s="20">
        <f>'[6]F 4 TRI _ Granulo'!H20</f>
        <v>0</v>
      </c>
      <c r="E33" s="20">
        <f>'[6]F 4 TRI _ Granulo'!E20</f>
        <v>0</v>
      </c>
      <c r="F33" s="20">
        <f t="shared" si="1"/>
        <v>0</v>
      </c>
      <c r="G33" s="21">
        <f t="shared" si="0"/>
        <v>0</v>
      </c>
      <c r="H33" s="241">
        <f>G33*J31/I31</f>
        <v>0</v>
      </c>
      <c r="I33" s="356"/>
      <c r="J33" s="356"/>
    </row>
    <row r="34" spans="1:10" ht="25.5" x14ac:dyDescent="0.25">
      <c r="A34" s="354"/>
      <c r="B34" s="18" t="s">
        <v>120</v>
      </c>
      <c r="C34" s="19">
        <f>'[6]F 4 TRI _ Granulo'!K21</f>
        <v>0</v>
      </c>
      <c r="D34" s="20">
        <f>'[6]F 4 TRI _ Granulo'!H21</f>
        <v>0</v>
      </c>
      <c r="E34" s="20">
        <f>'[6]F 4 TRI _ Granulo'!E21</f>
        <v>0</v>
      </c>
      <c r="F34" s="20">
        <f t="shared" si="1"/>
        <v>0</v>
      </c>
      <c r="G34" s="21">
        <f t="shared" si="0"/>
        <v>0</v>
      </c>
      <c r="H34" s="241">
        <f>G34*J31/I31</f>
        <v>0</v>
      </c>
      <c r="I34" s="357"/>
      <c r="J34" s="357"/>
    </row>
    <row r="35" spans="1:10" x14ac:dyDescent="0.25">
      <c r="A35" s="251" t="s">
        <v>45</v>
      </c>
      <c r="B35" s="18" t="s">
        <v>46</v>
      </c>
      <c r="C35" s="19">
        <f>'[6]F 4 TRI _ Granulo'!K22</f>
        <v>1.0835164835164846</v>
      </c>
      <c r="D35" s="20">
        <f>'[6]F 4 TRI _ Granulo'!H22</f>
        <v>2.5500000000000003</v>
      </c>
      <c r="E35" s="20">
        <f>'[6]F 4 TRI _ Granulo'!E22</f>
        <v>0.96</v>
      </c>
      <c r="F35" s="20">
        <f t="shared" si="1"/>
        <v>4.5935164835164848</v>
      </c>
      <c r="G35" s="21">
        <f t="shared" si="0"/>
        <v>5.8340544312630825E-2</v>
      </c>
      <c r="H35" s="21">
        <f>'[6]Calcul sous cat &gt;20'!N43/100</f>
        <v>4.877793547467757E-2</v>
      </c>
      <c r="I35" s="252">
        <f>G35</f>
        <v>5.8340544312630825E-2</v>
      </c>
      <c r="J35" s="252">
        <f>'[6]Calcul sous cat &gt;20'!N12/100</f>
        <v>4.877793547467757E-2</v>
      </c>
    </row>
    <row r="36" spans="1:10" ht="51" x14ac:dyDescent="0.25">
      <c r="A36" s="345" t="s">
        <v>47</v>
      </c>
      <c r="B36" s="18" t="s">
        <v>48</v>
      </c>
      <c r="C36" s="19">
        <f>'[6]F 4 TRI _ Granulo'!K23</f>
        <v>2.8681318681318695</v>
      </c>
      <c r="D36" s="20">
        <f>'[6]F 4 TRI _ Granulo'!H23</f>
        <v>0.43000000000000016</v>
      </c>
      <c r="E36" s="20">
        <f>'[6]F 4 TRI _ Granulo'!E23</f>
        <v>0</v>
      </c>
      <c r="F36" s="20">
        <f t="shared" si="1"/>
        <v>3.2981318681318696</v>
      </c>
      <c r="G36" s="21">
        <f t="shared" si="0"/>
        <v>4.1888346127006273E-2</v>
      </c>
      <c r="H36" s="21">
        <f>'[6]Calcul sous cat &gt;20'!N44/100</f>
        <v>3.6258547074769693E-2</v>
      </c>
      <c r="I36" s="348">
        <f>G36+G37</f>
        <v>0.10437962316817859</v>
      </c>
      <c r="J36" s="348">
        <f>'[6]Calcul sous cat &gt;20'!N13/100</f>
        <v>8.9620048155475918E-2</v>
      </c>
    </row>
    <row r="37" spans="1:10" ht="63.75" x14ac:dyDescent="0.25">
      <c r="A37" s="347"/>
      <c r="B37" s="18" t="s">
        <v>49</v>
      </c>
      <c r="C37" s="19">
        <f>'[6]F 4 TRI _ Granulo'!K24</f>
        <v>4.2703296703296703</v>
      </c>
      <c r="D37" s="20">
        <f>'[6]F 4 TRI _ Granulo'!H24</f>
        <v>0.64999999999999991</v>
      </c>
      <c r="E37" s="20">
        <f>'[6]F 4 TRI _ Granulo'!E24</f>
        <v>0</v>
      </c>
      <c r="F37" s="20">
        <f t="shared" si="1"/>
        <v>4.9203296703296697</v>
      </c>
      <c r="G37" s="21">
        <f t="shared" si="0"/>
        <v>6.249127704117232E-2</v>
      </c>
      <c r="H37" s="21">
        <f>'[6]Calcul sous cat &gt;20'!N45/100</f>
        <v>5.3361501080706218E-2</v>
      </c>
      <c r="I37" s="348"/>
      <c r="J37" s="348"/>
    </row>
    <row r="38" spans="1:10" ht="38.25" x14ac:dyDescent="0.25">
      <c r="A38" s="345" t="s">
        <v>50</v>
      </c>
      <c r="B38" s="18" t="s">
        <v>51</v>
      </c>
      <c r="C38" s="19">
        <f>'[6]F 4 TRI _ Granulo'!K25</f>
        <v>1.0835164835164846</v>
      </c>
      <c r="D38" s="20">
        <f>'[6]F 4 TRI _ Granulo'!H25</f>
        <v>4.09</v>
      </c>
      <c r="E38" s="20">
        <f>'[6]F 4 TRI _ Granulo'!E25</f>
        <v>0</v>
      </c>
      <c r="F38" s="20">
        <f t="shared" si="1"/>
        <v>5.1735164835164849</v>
      </c>
      <c r="G38" s="21">
        <f t="shared" si="0"/>
        <v>6.5706908583391468E-2</v>
      </c>
      <c r="H38" s="21">
        <f>'[6]Calcul sous cat &gt;20'!N46/100</f>
        <v>6.3344416672417705E-2</v>
      </c>
      <c r="I38" s="348">
        <f>G38+G39+G40+G41+G42</f>
        <v>0.15158548499651076</v>
      </c>
      <c r="J38" s="348">
        <f>'[6]Calcul sous cat &gt;20'!N14/100</f>
        <v>0.14298398263817774</v>
      </c>
    </row>
    <row r="39" spans="1:10" ht="38.25" x14ac:dyDescent="0.25">
      <c r="A39" s="346"/>
      <c r="B39" s="18" t="s">
        <v>52</v>
      </c>
      <c r="C39" s="19">
        <f>'[6]F 4 TRI _ Granulo'!K26</f>
        <v>0.57362637362637425</v>
      </c>
      <c r="D39" s="20">
        <f>'[6]F 4 TRI _ Granulo'!H26</f>
        <v>1.2800000000000002</v>
      </c>
      <c r="E39" s="20">
        <f>'[6]F 4 TRI _ Granulo'!E26</f>
        <v>0</v>
      </c>
      <c r="F39" s="20">
        <f t="shared" si="1"/>
        <v>1.8536263736263745</v>
      </c>
      <c r="G39" s="21">
        <f t="shared" si="0"/>
        <v>2.3542219120725748E-2</v>
      </c>
      <c r="H39" s="21">
        <f>'[6]Calcul sous cat &gt;20'!N47/100</f>
        <v>2.0285620377265948E-2</v>
      </c>
      <c r="I39" s="348"/>
      <c r="J39" s="348"/>
    </row>
    <row r="40" spans="1:10" ht="51" x14ac:dyDescent="0.25">
      <c r="A40" s="346"/>
      <c r="B40" s="18" t="s">
        <v>53</v>
      </c>
      <c r="C40" s="19">
        <f>'[6]F 4 TRI _ Granulo'!K27</f>
        <v>0.31868131868131899</v>
      </c>
      <c r="D40" s="20">
        <f>'[6]F 4 TRI _ Granulo'!H27</f>
        <v>0.22999999999999998</v>
      </c>
      <c r="E40" s="20">
        <f>'[6]F 4 TRI _ Granulo'!E27</f>
        <v>0</v>
      </c>
      <c r="F40" s="20">
        <f t="shared" si="1"/>
        <v>0.54868131868131897</v>
      </c>
      <c r="G40" s="21">
        <f t="shared" si="0"/>
        <v>6.9685973482205166E-3</v>
      </c>
      <c r="H40" s="21">
        <f>'[6]Calcul sous cat &gt;20'!N48/100</f>
        <v>6.0036356129572069E-3</v>
      </c>
      <c r="I40" s="348"/>
      <c r="J40" s="348"/>
    </row>
    <row r="41" spans="1:10" ht="38.25" x14ac:dyDescent="0.25">
      <c r="A41" s="346"/>
      <c r="B41" s="18" t="s">
        <v>54</v>
      </c>
      <c r="C41" s="19">
        <f>'[6]F 4 TRI _ Granulo'!K28</f>
        <v>1.8483516483516489</v>
      </c>
      <c r="D41" s="20">
        <f>'[6]F 4 TRI _ Granulo'!H28</f>
        <v>1.54</v>
      </c>
      <c r="E41" s="20">
        <f>'[6]F 4 TRI _ Granulo'!E28</f>
        <v>0</v>
      </c>
      <c r="F41" s="20">
        <f t="shared" si="1"/>
        <v>3.3883516483516489</v>
      </c>
      <c r="G41" s="21">
        <f t="shared" si="0"/>
        <v>4.3034193998604309E-2</v>
      </c>
      <c r="H41" s="21">
        <f>'[6]Calcul sous cat &gt;20'!N49/100</f>
        <v>4.1465162064059952E-2</v>
      </c>
      <c r="I41" s="348"/>
      <c r="J41" s="348"/>
    </row>
    <row r="42" spans="1:10" ht="25.5" x14ac:dyDescent="0.25">
      <c r="A42" s="347"/>
      <c r="B42" s="18" t="s">
        <v>55</v>
      </c>
      <c r="C42" s="19">
        <f>'[6]F 4 TRI _ Granulo'!K29</f>
        <v>0.70109890109890183</v>
      </c>
      <c r="D42" s="20">
        <f>'[6]F 4 TRI _ Granulo'!H29</f>
        <v>0.27</v>
      </c>
      <c r="E42" s="20">
        <f>'[6]F 4 TRI _ Granulo'!E29</f>
        <v>0</v>
      </c>
      <c r="F42" s="20">
        <f t="shared" si="1"/>
        <v>0.97109890109890185</v>
      </c>
      <c r="G42" s="21">
        <f t="shared" si="0"/>
        <v>1.2333565945568739E-2</v>
      </c>
      <c r="H42" s="21">
        <f>'[6]Calcul sous cat &gt;20'!N50/100</f>
        <v>1.1885147911476959E-2</v>
      </c>
      <c r="I42" s="348"/>
      <c r="J42" s="348"/>
    </row>
    <row r="43" spans="1:10" ht="38.25" x14ac:dyDescent="0.25">
      <c r="A43" s="251" t="s">
        <v>56</v>
      </c>
      <c r="B43" s="18" t="s">
        <v>56</v>
      </c>
      <c r="C43" s="19">
        <f>'[6]F 4 TRI _ Granulo'!K30</f>
        <v>0.8285714285714294</v>
      </c>
      <c r="D43" s="20">
        <f>'[6]F 4 TRI _ Granulo'!H30</f>
        <v>0.71</v>
      </c>
      <c r="E43" s="20">
        <f>'[6]F 4 TRI _ Granulo'!E30</f>
        <v>1.7800000000000002</v>
      </c>
      <c r="F43" s="20">
        <f t="shared" si="1"/>
        <v>3.3185714285714294</v>
      </c>
      <c r="G43" s="21">
        <f t="shared" si="0"/>
        <v>4.2147941381716666E-2</v>
      </c>
      <c r="H43" s="21">
        <f>J43</f>
        <v>3.5985901301680202E-2</v>
      </c>
      <c r="I43" s="252">
        <f>G43</f>
        <v>4.2147941381716666E-2</v>
      </c>
      <c r="J43" s="252">
        <f>'[6]Calcul sous cat &gt;20'!N15/100</f>
        <v>3.5985901301680202E-2</v>
      </c>
    </row>
    <row r="44" spans="1:10" ht="51" x14ac:dyDescent="0.25">
      <c r="A44" s="345" t="s">
        <v>57</v>
      </c>
      <c r="B44" s="18" t="s">
        <v>58</v>
      </c>
      <c r="C44" s="19">
        <f>'[6]F 4 TRI _ Granulo'!K31</f>
        <v>3.1230769230769249</v>
      </c>
      <c r="D44" s="20">
        <f>'[6]F 4 TRI _ Granulo'!H31</f>
        <v>0.49000000000000021</v>
      </c>
      <c r="E44" s="20">
        <f>'[6]F 4 TRI _ Granulo'!E31</f>
        <v>0</v>
      </c>
      <c r="F44" s="20">
        <f t="shared" si="1"/>
        <v>3.6130769230769251</v>
      </c>
      <c r="G44" s="21">
        <f t="shared" si="0"/>
        <v>4.5888346127006284E-2</v>
      </c>
      <c r="H44" s="21">
        <f>G44*J44/I44</f>
        <v>3.8331050670843476E-2</v>
      </c>
      <c r="I44" s="348">
        <f>G44+G45</f>
        <v>5.4983949755757155E-2</v>
      </c>
      <c r="J44" s="348">
        <f>'[6]Calcul sous cat &gt;20'!N16/100</f>
        <v>4.5928710490846729E-2</v>
      </c>
    </row>
    <row r="45" spans="1:10" ht="38.25" x14ac:dyDescent="0.25">
      <c r="A45" s="347"/>
      <c r="B45" s="18" t="s">
        <v>59</v>
      </c>
      <c r="C45" s="19">
        <f>'[6]F 4 TRI _ Granulo'!K32</f>
        <v>0.44615384615384662</v>
      </c>
      <c r="D45" s="20">
        <f>'[6]F 4 TRI _ Granulo'!H32</f>
        <v>0.27</v>
      </c>
      <c r="E45" s="20">
        <f>'[6]F 4 TRI _ Granulo'!E32</f>
        <v>0</v>
      </c>
      <c r="F45" s="20">
        <f t="shared" si="1"/>
        <v>0.71615384615384658</v>
      </c>
      <c r="G45" s="21">
        <f t="shared" si="0"/>
        <v>9.0956036287508733E-3</v>
      </c>
      <c r="H45" s="21">
        <f>G45*J44/I44</f>
        <v>7.5976598200032533E-3</v>
      </c>
      <c r="I45" s="348"/>
      <c r="J45" s="348"/>
    </row>
    <row r="46" spans="1:10" ht="51" x14ac:dyDescent="0.25">
      <c r="A46" s="345" t="s">
        <v>60</v>
      </c>
      <c r="B46" s="18" t="s">
        <v>61</v>
      </c>
      <c r="C46" s="19">
        <f>'[6]F 4 TRI _ Granulo'!K33</f>
        <v>0.8285714285714294</v>
      </c>
      <c r="D46" s="20">
        <f>'[6]F 4 TRI _ Granulo'!H33</f>
        <v>0.1100000000000001</v>
      </c>
      <c r="E46" s="20">
        <f>'[6]F 4 TRI _ Granulo'!E33</f>
        <v>0.4</v>
      </c>
      <c r="F46" s="20">
        <f t="shared" si="1"/>
        <v>1.3385714285714294</v>
      </c>
      <c r="G46" s="21">
        <f t="shared" si="0"/>
        <v>1.7000697836706213E-2</v>
      </c>
      <c r="H46" s="21">
        <f t="shared" ref="H46:H51" si="2">G46*$J$46/$I$46</f>
        <v>1.4661244350002954E-2</v>
      </c>
      <c r="I46" s="348">
        <f>G46+G47+G50+G51+G48+G49</f>
        <v>3.4827634333565956E-2</v>
      </c>
      <c r="J46" s="348">
        <f>'[6]Calcul sous cat &gt;20'!N17/100</f>
        <v>3.0035029267709856E-2</v>
      </c>
    </row>
    <row r="47" spans="1:10" ht="51" x14ac:dyDescent="0.25">
      <c r="A47" s="346"/>
      <c r="B47" s="18" t="s">
        <v>62</v>
      </c>
      <c r="C47" s="19">
        <f>'[6]F 4 TRI _ Granulo'!K34</f>
        <v>0.31868131868131899</v>
      </c>
      <c r="D47" s="20">
        <f>'[6]F 4 TRI _ Granulo'!H34</f>
        <v>5.0000000000000044E-2</v>
      </c>
      <c r="E47" s="20">
        <f>'[6]F 4 TRI _ Granulo'!E34</f>
        <v>0</v>
      </c>
      <c r="F47" s="20">
        <f t="shared" si="1"/>
        <v>0.36868131868131904</v>
      </c>
      <c r="G47" s="21">
        <f t="shared" si="0"/>
        <v>4.6824842986741121E-3</v>
      </c>
      <c r="H47" s="21">
        <f t="shared" si="2"/>
        <v>4.0381310889302949E-3</v>
      </c>
      <c r="I47" s="348"/>
      <c r="J47" s="348"/>
    </row>
    <row r="48" spans="1:10" ht="38.25" x14ac:dyDescent="0.25">
      <c r="A48" s="346"/>
      <c r="B48" s="18" t="s">
        <v>63</v>
      </c>
      <c r="C48" s="19">
        <f>'[6]F 4 TRI _ Granulo'!K35</f>
        <v>0</v>
      </c>
      <c r="D48" s="20">
        <f>'[6]F 4 TRI _ Granulo'!H35</f>
        <v>0</v>
      </c>
      <c r="E48" s="20">
        <f>'[6]F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ht="51" x14ac:dyDescent="0.25">
      <c r="A49" s="346"/>
      <c r="B49" s="18" t="s">
        <v>64</v>
      </c>
      <c r="C49" s="19">
        <f>'[6]F 4 TRI _ Granulo'!K36</f>
        <v>0</v>
      </c>
      <c r="D49" s="20">
        <f>'[6]F 4 TRI _ Granulo'!H36</f>
        <v>0</v>
      </c>
      <c r="E49" s="20">
        <f>'[6]F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ht="38.25" x14ac:dyDescent="0.25">
      <c r="A50" s="346"/>
      <c r="B50" s="18" t="s">
        <v>65</v>
      </c>
      <c r="C50" s="19">
        <f>'[6]F 4 TRI _ Granulo'!K37</f>
        <v>0.19120879120879142</v>
      </c>
      <c r="D50" s="20">
        <f>'[6]F 4 TRI _ Granulo'!H37</f>
        <v>0.19000000000000017</v>
      </c>
      <c r="E50" s="20">
        <f>'[6]F 4 TRI _ Granulo'!E37</f>
        <v>0</v>
      </c>
      <c r="F50" s="20">
        <f t="shared" si="1"/>
        <v>0.38120879120879159</v>
      </c>
      <c r="G50" s="21">
        <f t="shared" si="0"/>
        <v>4.8415910676901626E-3</v>
      </c>
      <c r="H50" s="21">
        <f t="shared" si="2"/>
        <v>4.1753432928462574E-3</v>
      </c>
      <c r="I50" s="348"/>
      <c r="J50" s="348"/>
    </row>
    <row r="51" spans="1:10" ht="25.5" x14ac:dyDescent="0.25">
      <c r="A51" s="347"/>
      <c r="B51" s="18" t="s">
        <v>66</v>
      </c>
      <c r="C51" s="19">
        <f>'[6]F 4 TRI _ Granulo'!K38</f>
        <v>6.3736263736263801E-2</v>
      </c>
      <c r="D51" s="20">
        <f>'[6]F 4 TRI _ Granulo'!H38</f>
        <v>0.5900000000000003</v>
      </c>
      <c r="E51" s="20">
        <f>'[6]F 4 TRI _ Granulo'!E38</f>
        <v>0</v>
      </c>
      <c r="F51" s="20">
        <f t="shared" si="1"/>
        <v>0.65373626373626414</v>
      </c>
      <c r="G51" s="21">
        <f t="shared" si="0"/>
        <v>8.3028611304954651E-3</v>
      </c>
      <c r="H51" s="21">
        <f t="shared" si="2"/>
        <v>7.1603105359303483E-3</v>
      </c>
      <c r="I51" s="348"/>
      <c r="J51" s="348"/>
    </row>
    <row r="52" spans="1:10" ht="38.25" x14ac:dyDescent="0.25">
      <c r="A52" s="253" t="s">
        <v>67</v>
      </c>
      <c r="B52" s="18" t="s">
        <v>68</v>
      </c>
      <c r="C52" s="19">
        <f>'[6]F 4 TRI _ Granulo'!K39</f>
        <v>2.2307692307692317</v>
      </c>
      <c r="D52" s="20">
        <f>'[6]F 4 TRI _ Granulo'!H39</f>
        <v>0</v>
      </c>
      <c r="E52" s="20">
        <f>'[6]F 4 TRI _ Granulo'!E39</f>
        <v>0</v>
      </c>
      <c r="F52" s="20">
        <f t="shared" si="1"/>
        <v>2.2307692307692317</v>
      </c>
      <c r="G52" s="21">
        <f t="shared" si="0"/>
        <v>2.8332170272156312E-2</v>
      </c>
      <c r="H52" s="21">
        <f>J52</f>
        <v>2.7019669949782717E-2</v>
      </c>
      <c r="I52" s="254">
        <f>G52</f>
        <v>2.8332170272156312E-2</v>
      </c>
      <c r="J52" s="254">
        <f>'[6]Calcul sous cat &gt;20'!N18/100</f>
        <v>2.7019669949782717E-2</v>
      </c>
    </row>
    <row r="53" spans="1:10" ht="38.25" x14ac:dyDescent="0.25">
      <c r="A53" s="345" t="s">
        <v>69</v>
      </c>
      <c r="B53" s="18" t="s">
        <v>121</v>
      </c>
      <c r="C53" s="19">
        <f>'[6]F 4 TRI _ Granulo'!K40</f>
        <v>0</v>
      </c>
      <c r="D53" s="20">
        <f>'[6]F 4 TRI _ Granulo'!H40</f>
        <v>4.0000000000000036E-2</v>
      </c>
      <c r="E53" s="20">
        <f>'[6]F 4 TRI _ Granulo'!E40</f>
        <v>0</v>
      </c>
      <c r="F53" s="20">
        <f t="shared" si="1"/>
        <v>4.0000000000000036E-2</v>
      </c>
      <c r="G53" s="21">
        <f t="shared" si="0"/>
        <v>5.0802512212142371E-4</v>
      </c>
      <c r="H53" s="241">
        <f>G53*J53/I53</f>
        <v>4.3330867123552065E-4</v>
      </c>
      <c r="I53" s="348">
        <f>SUM(G53:G62)</f>
        <v>5.0802512212142371E-4</v>
      </c>
      <c r="J53" s="348">
        <f>'[6]Calcul sous cat &gt;20'!N19/100</f>
        <v>4.3330867123552065E-4</v>
      </c>
    </row>
    <row r="54" spans="1:10" ht="76.5" x14ac:dyDescent="0.25">
      <c r="A54" s="346"/>
      <c r="B54" s="18" t="s">
        <v>70</v>
      </c>
      <c r="C54" s="19">
        <f>'[6]F 4 TRI _ Granulo'!K41</f>
        <v>0</v>
      </c>
      <c r="D54" s="20">
        <f>'[6]F 4 TRI _ Granulo'!H41</f>
        <v>0</v>
      </c>
      <c r="E54" s="20">
        <f>'[6]F 4 TRI _ Granulo'!E41</f>
        <v>0</v>
      </c>
      <c r="F54" s="20">
        <f t="shared" si="1"/>
        <v>0</v>
      </c>
      <c r="G54" s="21">
        <f t="shared" si="0"/>
        <v>0</v>
      </c>
      <c r="H54" s="241">
        <f>G54*J53/I53</f>
        <v>0</v>
      </c>
      <c r="I54" s="348"/>
      <c r="J54" s="348"/>
    </row>
    <row r="55" spans="1:10" ht="25.5" x14ac:dyDescent="0.25">
      <c r="A55" s="346"/>
      <c r="B55" s="18" t="s">
        <v>71</v>
      </c>
      <c r="C55" s="19">
        <f>'[6]F 4 TRI _ Granulo'!K42</f>
        <v>0</v>
      </c>
      <c r="D55" s="20">
        <f>'[6]F 4 TRI _ Granulo'!H42</f>
        <v>0</v>
      </c>
      <c r="E55" s="20">
        <f>'[6]F 4 TRI _ Granulo'!E42</f>
        <v>0</v>
      </c>
      <c r="F55" s="20">
        <f>SUM(C55:E55)</f>
        <v>0</v>
      </c>
      <c r="G55" s="21">
        <f t="shared" si="0"/>
        <v>0</v>
      </c>
      <c r="H55" s="241">
        <f>G55*J53/I53</f>
        <v>0</v>
      </c>
      <c r="I55" s="348"/>
      <c r="J55" s="348"/>
    </row>
    <row r="56" spans="1:10" ht="38.25" x14ac:dyDescent="0.25">
      <c r="A56" s="346"/>
      <c r="B56" s="18" t="s">
        <v>72</v>
      </c>
      <c r="C56" s="19">
        <f>'[6]F 4 TRI _ Granulo'!K43</f>
        <v>0</v>
      </c>
      <c r="D56" s="20">
        <f>'[6]F 4 TRI _ Granulo'!H43</f>
        <v>0</v>
      </c>
      <c r="E56" s="20">
        <f>'[6]F 4 TRI _ Granulo'!E43</f>
        <v>0</v>
      </c>
      <c r="F56" s="20">
        <f t="shared" si="1"/>
        <v>0</v>
      </c>
      <c r="G56" s="21">
        <f>F56/$F$64</f>
        <v>0</v>
      </c>
      <c r="H56" s="241">
        <f>G56*J53/I53</f>
        <v>0</v>
      </c>
      <c r="I56" s="348"/>
      <c r="J56" s="348"/>
    </row>
    <row r="57" spans="1:10" ht="51" x14ac:dyDescent="0.25">
      <c r="A57" s="346"/>
      <c r="B57" s="18" t="s">
        <v>122</v>
      </c>
      <c r="C57" s="19">
        <f>'[6]F 4 TRI _ Granulo'!K44</f>
        <v>0</v>
      </c>
      <c r="D57" s="20">
        <f>'[6]F 4 TRI _ Granulo'!H44</f>
        <v>0</v>
      </c>
      <c r="E57" s="20">
        <f>'[6]F 4 TRI _ Granulo'!E44</f>
        <v>0</v>
      </c>
      <c r="F57" s="20">
        <f t="shared" si="1"/>
        <v>0</v>
      </c>
      <c r="G57" s="21">
        <f t="shared" ref="G57:G62" si="3">F57/$F$64</f>
        <v>0</v>
      </c>
      <c r="H57" s="241">
        <f>G57*J53/I53</f>
        <v>0</v>
      </c>
      <c r="I57" s="348"/>
      <c r="J57" s="348"/>
    </row>
    <row r="58" spans="1:10" ht="25.5" x14ac:dyDescent="0.25">
      <c r="A58" s="346"/>
      <c r="B58" s="18" t="s">
        <v>123</v>
      </c>
      <c r="C58" s="19">
        <f>'[6]F 4 TRI _ Granulo'!K45</f>
        <v>0</v>
      </c>
      <c r="D58" s="20">
        <f>'[6]F 4 TRI _ Granulo'!H45</f>
        <v>0</v>
      </c>
      <c r="E58" s="20">
        <f>'[6]F 4 TRI _ Granulo'!E45</f>
        <v>0</v>
      </c>
      <c r="F58" s="20">
        <f t="shared" si="1"/>
        <v>0</v>
      </c>
      <c r="G58" s="21">
        <f t="shared" si="3"/>
        <v>0</v>
      </c>
      <c r="H58" s="241">
        <f>G58*J53/I53</f>
        <v>0</v>
      </c>
      <c r="I58" s="348"/>
      <c r="J58" s="348"/>
    </row>
    <row r="59" spans="1:10" ht="25.5" x14ac:dyDescent="0.25">
      <c r="A59" s="346"/>
      <c r="B59" s="18" t="s">
        <v>124</v>
      </c>
      <c r="C59" s="19">
        <f>'[6]F 4 TRI _ Granulo'!K46</f>
        <v>0</v>
      </c>
      <c r="D59" s="20">
        <f>'[6]F 4 TRI _ Granulo'!H46</f>
        <v>0</v>
      </c>
      <c r="E59" s="20">
        <f>'[6]F 4 TRI _ Granulo'!E46</f>
        <v>0</v>
      </c>
      <c r="F59" s="20">
        <f t="shared" si="1"/>
        <v>0</v>
      </c>
      <c r="G59" s="21">
        <f t="shared" si="3"/>
        <v>0</v>
      </c>
      <c r="H59" s="241">
        <f>G59*J53/I53</f>
        <v>0</v>
      </c>
      <c r="I59" s="348"/>
      <c r="J59" s="348"/>
    </row>
    <row r="60" spans="1:10" ht="25.5" x14ac:dyDescent="0.25">
      <c r="A60" s="346"/>
      <c r="B60" s="18" t="s">
        <v>125</v>
      </c>
      <c r="C60" s="19">
        <f>'[6]F 4 TRI _ Granulo'!K47</f>
        <v>0</v>
      </c>
      <c r="D60" s="20">
        <f>'[6]F 4 TRI _ Granulo'!H47</f>
        <v>0</v>
      </c>
      <c r="E60" s="20">
        <f>'[6]F 4 TRI _ Granulo'!E47</f>
        <v>0</v>
      </c>
      <c r="F60" s="20">
        <f t="shared" si="1"/>
        <v>0</v>
      </c>
      <c r="G60" s="21">
        <f t="shared" si="3"/>
        <v>0</v>
      </c>
      <c r="H60" s="241">
        <f>G60*J53/I53</f>
        <v>0</v>
      </c>
      <c r="I60" s="348"/>
      <c r="J60" s="348"/>
    </row>
    <row r="61" spans="1:10" ht="38.25" x14ac:dyDescent="0.25">
      <c r="A61" s="346"/>
      <c r="B61" s="18" t="s">
        <v>126</v>
      </c>
      <c r="C61" s="19">
        <f>'[6]F 4 TRI _ Granulo'!K48</f>
        <v>0</v>
      </c>
      <c r="D61" s="20">
        <f>'[6]F 4 TRI _ Granulo'!H48</f>
        <v>0</v>
      </c>
      <c r="E61" s="20">
        <f>'[6]F 4 TRI _ Granulo'!E48</f>
        <v>0</v>
      </c>
      <c r="F61" s="20">
        <f t="shared" si="1"/>
        <v>0</v>
      </c>
      <c r="G61" s="21">
        <f t="shared" si="3"/>
        <v>0</v>
      </c>
      <c r="H61" s="241">
        <f>G61*J53/I53</f>
        <v>0</v>
      </c>
      <c r="I61" s="348"/>
      <c r="J61" s="348"/>
    </row>
    <row r="62" spans="1:10" ht="51" x14ac:dyDescent="0.25">
      <c r="A62" s="358"/>
      <c r="B62" s="18" t="s">
        <v>73</v>
      </c>
      <c r="C62" s="19">
        <f>'[6]F 4 TRI _ Granulo'!K49</f>
        <v>0</v>
      </c>
      <c r="D62" s="20">
        <f>'[6]F 4 TRI _ Granulo'!H49</f>
        <v>0</v>
      </c>
      <c r="E62" s="20">
        <f>'[6]F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348"/>
      <c r="J62" s="348"/>
    </row>
    <row r="63" spans="1:10" x14ac:dyDescent="0.25">
      <c r="A63" s="22" t="s">
        <v>74</v>
      </c>
      <c r="B63" s="23">
        <f>'[6]F 3 _ Criblage et Tri'!C27+'[6]F 3 _ Criblage et Tri'!D27</f>
        <v>9.3400000000000016</v>
      </c>
      <c r="C63" s="19">
        <f>'[6]F 4 TRI _ Granulo'!K50</f>
        <v>1.1472527472527485</v>
      </c>
      <c r="D63" s="20">
        <f>'[6]F 4 TRI _ Granulo'!H50</f>
        <v>0.28000000000000025</v>
      </c>
      <c r="E63" s="20">
        <f>'[6]F 4 TRI _ Granulo'!E50</f>
        <v>0</v>
      </c>
      <c r="F63" s="19">
        <f>SUM(B63:E63)</f>
        <v>10.767252747252751</v>
      </c>
      <c r="G63" s="21">
        <f t="shared" si="0"/>
        <v>0.13675087229588273</v>
      </c>
      <c r="H63" s="21">
        <f>J63</f>
        <v>6.7017144610458712E-2</v>
      </c>
      <c r="I63" s="24">
        <f>G63</f>
        <v>0.13675087229588273</v>
      </c>
      <c r="J63" s="24">
        <f>'[6]Calcul sous cat &gt;20'!N20/100</f>
        <v>6.7017144610458712E-2</v>
      </c>
    </row>
    <row r="64" spans="1:10" x14ac:dyDescent="0.25">
      <c r="A64" s="25" t="s">
        <v>25</v>
      </c>
      <c r="B64" s="90">
        <f>B63</f>
        <v>9.3400000000000016</v>
      </c>
      <c r="C64" s="19">
        <f>SUM(C18:C63)</f>
        <v>34.736263736263759</v>
      </c>
      <c r="D64" s="19">
        <f>SUM(D18:D63)</f>
        <v>30.340000000000003</v>
      </c>
      <c r="E64" s="19">
        <f>SUM(E18:E63)</f>
        <v>4.3200000000000012</v>
      </c>
      <c r="F64" s="19">
        <f>SUM(B64:E64)</f>
        <v>78.73626373626378</v>
      </c>
      <c r="G64" s="21">
        <f t="shared" si="0"/>
        <v>1</v>
      </c>
      <c r="H64" s="21">
        <f>SUM(H18:H63)</f>
        <v>1</v>
      </c>
      <c r="I64" s="24">
        <f>SUM(I18:I63)</f>
        <v>0.99999999999999956</v>
      </c>
      <c r="J64" s="24">
        <f>SUM(J18:J63)</f>
        <v>0.99999999999999978</v>
      </c>
    </row>
    <row r="65" spans="1:10" ht="51.75" x14ac:dyDescent="0.25">
      <c r="A65" s="26" t="s">
        <v>75</v>
      </c>
      <c r="B65" s="235">
        <f>B64/$F$64</f>
        <v>0.11862386601535237</v>
      </c>
      <c r="C65" s="235">
        <f>C64/$F$64</f>
        <v>0.44117236566643409</v>
      </c>
      <c r="D65" s="235">
        <f>D64/$F$64</f>
        <v>0.3853370551290996</v>
      </c>
      <c r="E65" s="235">
        <f>E64/$F$64</f>
        <v>5.4866713189113729E-2</v>
      </c>
      <c r="F65" s="235">
        <f>F64/$F$64</f>
        <v>1</v>
      </c>
      <c r="G65" s="1"/>
      <c r="H65" s="1"/>
      <c r="I65" s="1"/>
      <c r="J65" s="1"/>
    </row>
  </sheetData>
  <mergeCells count="40">
    <mergeCell ref="A53:A62"/>
    <mergeCell ref="I53:I62"/>
    <mergeCell ref="J53:J62"/>
    <mergeCell ref="A44:A45"/>
    <mergeCell ref="I44:I45"/>
    <mergeCell ref="J44:J45"/>
    <mergeCell ref="A46:A51"/>
    <mergeCell ref="I46:I51"/>
    <mergeCell ref="J46:J51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L32" sqref="L32"/>
    </sheetView>
  </sheetViews>
  <sheetFormatPr baseColWidth="10" defaultRowHeight="15" x14ac:dyDescent="0.25"/>
  <cols>
    <col min="2" max="2" width="32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0</v>
      </c>
      <c r="B2" s="336" t="str">
        <f>'[7]F 1 _ Echant et Séchage'!D5</f>
        <v>STO-A15-PB-BAN</v>
      </c>
      <c r="C2" s="336"/>
      <c r="D2" s="336"/>
      <c r="E2" s="336"/>
      <c r="F2" s="336"/>
      <c r="G2" s="2"/>
      <c r="H2" s="2"/>
      <c r="I2" s="2"/>
      <c r="J2" s="2"/>
    </row>
    <row r="3" spans="1:10" x14ac:dyDescent="0.25">
      <c r="A3" s="1" t="s">
        <v>1</v>
      </c>
      <c r="B3" s="343" t="str">
        <f>'[7]F 1 _ Echant et Séchage'!D6</f>
        <v>CL 437 SW - EPINAY SUR SEINE</v>
      </c>
      <c r="C3" s="343"/>
      <c r="D3" s="343"/>
      <c r="E3" s="343"/>
      <c r="F3" s="343"/>
      <c r="G3" s="3"/>
      <c r="H3" s="3"/>
      <c r="I3" s="3"/>
      <c r="J3" s="3"/>
    </row>
    <row r="4" spans="1:10" x14ac:dyDescent="0.25">
      <c r="A4" s="1" t="s">
        <v>2</v>
      </c>
      <c r="B4" s="250"/>
      <c r="C4" s="250" t="str">
        <f>'[7]F 1 _ Echant et Séchage'!D8</f>
        <v>SAINT OUEN</v>
      </c>
      <c r="D4" s="250"/>
      <c r="E4" s="250"/>
      <c r="F4" s="250"/>
      <c r="G4" s="3"/>
      <c r="H4" s="3"/>
      <c r="I4" s="3"/>
      <c r="J4" s="3"/>
    </row>
    <row r="5" spans="1:10" x14ac:dyDescent="0.25">
      <c r="A5" s="1" t="s">
        <v>3</v>
      </c>
      <c r="B5" s="250"/>
      <c r="C5" s="250" t="str">
        <f>'[7]F 1 _ Echant et Séchage'!E15</f>
        <v>nuageux</v>
      </c>
      <c r="D5" s="250"/>
      <c r="E5" s="250"/>
      <c r="F5" s="250"/>
      <c r="G5" s="3"/>
      <c r="H5" s="3"/>
      <c r="I5" s="3"/>
      <c r="J5" s="3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.75" x14ac:dyDescent="0.25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x14ac:dyDescent="0.25">
      <c r="A8" s="1"/>
      <c r="B8" s="1"/>
      <c r="C8" s="1"/>
      <c r="D8" s="1"/>
      <c r="E8" s="1"/>
      <c r="F8" s="1"/>
      <c r="G8" s="1"/>
      <c r="H8" s="1"/>
      <c r="I8" s="4"/>
      <c r="J8" s="1"/>
    </row>
    <row r="9" spans="1:10" x14ac:dyDescent="0.25">
      <c r="A9" s="1" t="s">
        <v>5</v>
      </c>
      <c r="B9" s="5">
        <f>'[7]F 1 _ Echant et Séchage'!B12</f>
        <v>42264</v>
      </c>
      <c r="C9" s="1"/>
      <c r="D9" s="337" t="s">
        <v>6</v>
      </c>
      <c r="E9" s="337"/>
      <c r="F9" s="337"/>
      <c r="G9" s="6">
        <f>'[7]F 1 _ Echant et Séchage'!G19</f>
        <v>125.1</v>
      </c>
      <c r="H9" s="6"/>
      <c r="I9" s="7"/>
      <c r="J9" s="1" t="s">
        <v>7</v>
      </c>
    </row>
    <row r="10" spans="1:10" x14ac:dyDescent="0.25">
      <c r="A10" s="1" t="s">
        <v>8</v>
      </c>
      <c r="B10" s="8" t="str">
        <f>'[7]F 1 _ Echant et Séchage'!E12</f>
        <v>9H20</v>
      </c>
      <c r="C10" s="1"/>
      <c r="D10" s="337" t="s">
        <v>9</v>
      </c>
      <c r="E10" s="337"/>
      <c r="F10" s="337"/>
      <c r="G10" s="250">
        <f>'[7]F 1 _ Echant et Séchage'!H26</f>
        <v>0.5</v>
      </c>
      <c r="H10" s="250"/>
      <c r="I10" s="9"/>
      <c r="J10" s="1" t="s">
        <v>10</v>
      </c>
    </row>
    <row r="11" spans="1:10" x14ac:dyDescent="0.25">
      <c r="A11" s="1"/>
      <c r="B11" s="337"/>
      <c r="C11" s="337"/>
      <c r="D11" s="337" t="s">
        <v>11</v>
      </c>
      <c r="E11" s="337"/>
      <c r="F11" s="337"/>
      <c r="G11" s="10">
        <f>G9/1000/G10</f>
        <v>0.25019999999999998</v>
      </c>
      <c r="H11" s="10"/>
      <c r="I11" s="3"/>
      <c r="J11" s="3" t="s">
        <v>12</v>
      </c>
    </row>
    <row r="12" spans="1:10" x14ac:dyDescent="0.25">
      <c r="A12" s="1"/>
      <c r="B12" s="7"/>
      <c r="C12" s="1"/>
      <c r="D12" s="337" t="s">
        <v>13</v>
      </c>
      <c r="E12" s="337"/>
      <c r="F12" s="337"/>
      <c r="G12" s="236">
        <f>'[7]F 1 _ Echant et Séchage'!D51</f>
        <v>0.34580335731414863</v>
      </c>
      <c r="H12" s="11"/>
      <c r="I12" s="11"/>
      <c r="J12" s="1"/>
    </row>
    <row r="13" spans="1:10" x14ac:dyDescent="0.25">
      <c r="A13" s="1"/>
      <c r="B13" s="12"/>
      <c r="C13" s="1"/>
      <c r="D13" s="1"/>
      <c r="E13" s="1"/>
      <c r="F13" s="1"/>
      <c r="G13" s="234"/>
      <c r="H13" s="234"/>
      <c r="I13" s="234"/>
      <c r="J13" s="1"/>
    </row>
    <row r="14" spans="1:10" ht="18.75" x14ac:dyDescent="0.25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 customHeight="1" thickBot="1" x14ac:dyDescent="0.3">
      <c r="A16" s="1"/>
      <c r="B16" s="1"/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ht="26.25" thickBot="1" x14ac:dyDescent="0.3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ht="15" customHeight="1" x14ac:dyDescent="0.25">
      <c r="A18" s="349" t="s">
        <v>26</v>
      </c>
      <c r="B18" s="18" t="s">
        <v>119</v>
      </c>
      <c r="C18" s="19">
        <f>'[7]F 4 TRI _ Granulo'!K5</f>
        <v>1.9995373665480425</v>
      </c>
      <c r="D18" s="20">
        <f>'[7]F 4 TRI _ Granulo'!H5</f>
        <v>0.13000000000000012</v>
      </c>
      <c r="E18" s="20">
        <f>'[7]F 4 TRI _ Granulo'!E5</f>
        <v>0</v>
      </c>
      <c r="F18" s="20">
        <f>SUM(C18:E18)</f>
        <v>2.1295373665480426</v>
      </c>
      <c r="G18" s="21">
        <f t="shared" ref="G18:G64" si="0">F18/$F$64</f>
        <v>2.5802408998107196E-2</v>
      </c>
      <c r="H18" s="21">
        <f>G18*J18/I18</f>
        <v>5.8732521947788274E-2</v>
      </c>
      <c r="I18" s="344">
        <f>G18+G19+G20+G21+G22</f>
        <v>3.7467391795998138E-2</v>
      </c>
      <c r="J18" s="344">
        <f>'[7]Calcul sous cat &gt;20'!N8/100</f>
        <v>8.5284843409244082E-2</v>
      </c>
    </row>
    <row r="19" spans="1:10" x14ac:dyDescent="0.25">
      <c r="A19" s="350"/>
      <c r="B19" s="18" t="s">
        <v>27</v>
      </c>
      <c r="C19" s="19">
        <f>'[7]F 4 TRI _ Granulo'!K6</f>
        <v>0.96274021352313155</v>
      </c>
      <c r="D19" s="20">
        <f>'[7]F 4 TRI _ Granulo'!H6</f>
        <v>0</v>
      </c>
      <c r="E19" s="20">
        <f>'[7]F 4 TRI _ Granulo'!E6</f>
        <v>0</v>
      </c>
      <c r="F19" s="20">
        <f>SUM(C19:E19)</f>
        <v>0.96274021352313155</v>
      </c>
      <c r="G19" s="21">
        <f t="shared" si="0"/>
        <v>1.1664982797890942E-2</v>
      </c>
      <c r="H19" s="21">
        <f>G19*J18/I18</f>
        <v>2.6552321461455815E-2</v>
      </c>
      <c r="I19" s="344"/>
      <c r="J19" s="344"/>
    </row>
    <row r="20" spans="1:10" x14ac:dyDescent="0.25">
      <c r="A20" s="350"/>
      <c r="B20" s="18" t="s">
        <v>28</v>
      </c>
      <c r="C20" s="19">
        <f>'[7]F 4 TRI _ Granulo'!K7</f>
        <v>0</v>
      </c>
      <c r="D20" s="20">
        <f>'[7]F 4 TRI _ Granulo'!H7</f>
        <v>0</v>
      </c>
      <c r="E20" s="20">
        <f>'[7]F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x14ac:dyDescent="0.25">
      <c r="A21" s="350"/>
      <c r="B21" s="18" t="s">
        <v>29</v>
      </c>
      <c r="C21" s="19">
        <f>'[7]F 4 TRI _ Granulo'!K8</f>
        <v>0</v>
      </c>
      <c r="D21" s="20">
        <f>'[7]F 4 TRI _ Granulo'!H8</f>
        <v>0</v>
      </c>
      <c r="E21" s="20">
        <f>'[7]F 4 TRI _ Granulo'!E8</f>
        <v>0</v>
      </c>
      <c r="F21" s="20">
        <f t="shared" si="1"/>
        <v>0</v>
      </c>
      <c r="G21" s="21">
        <f t="shared" si="0"/>
        <v>0</v>
      </c>
      <c r="H21" s="21">
        <f>G21*J18/I18</f>
        <v>0</v>
      </c>
      <c r="I21" s="344"/>
      <c r="J21" s="344"/>
    </row>
    <row r="22" spans="1:10" x14ac:dyDescent="0.25">
      <c r="A22" s="351"/>
      <c r="B22" s="18" t="s">
        <v>30</v>
      </c>
      <c r="C22" s="19">
        <f>'[7]F 4 TRI _ Granulo'!K9</f>
        <v>0</v>
      </c>
      <c r="D22" s="20">
        <f>'[7]F 4 TRI _ Granulo'!H9</f>
        <v>0</v>
      </c>
      <c r="E22" s="20">
        <f>'[7]F 4 TRI _ Granulo'!E9</f>
        <v>0</v>
      </c>
      <c r="F22" s="20">
        <f t="shared" si="1"/>
        <v>0</v>
      </c>
      <c r="G22" s="21">
        <f t="shared" si="0"/>
        <v>0</v>
      </c>
      <c r="H22" s="21">
        <f>G22*J18/I18</f>
        <v>0</v>
      </c>
      <c r="I22" s="344"/>
      <c r="J22" s="344"/>
    </row>
    <row r="23" spans="1:10" x14ac:dyDescent="0.25">
      <c r="A23" s="345" t="s">
        <v>31</v>
      </c>
      <c r="B23" s="18" t="s">
        <v>32</v>
      </c>
      <c r="C23" s="19">
        <f>'[7]F 4 TRI _ Granulo'!K10</f>
        <v>0.37028469750889681</v>
      </c>
      <c r="D23" s="20">
        <f>'[7]F 4 TRI _ Granulo'!H10</f>
        <v>9.000000000000008E-2</v>
      </c>
      <c r="E23" s="20">
        <f>'[7]F 4 TRI _ Granulo'!E10</f>
        <v>0</v>
      </c>
      <c r="F23" s="20">
        <f t="shared" si="1"/>
        <v>0.46028469750889689</v>
      </c>
      <c r="G23" s="21">
        <f t="shared" si="0"/>
        <v>5.5770113299050562E-3</v>
      </c>
      <c r="H23" s="21">
        <f>'[7]Calcul sous cat &gt;20'!N32/100</f>
        <v>5.3146201115910922E-3</v>
      </c>
      <c r="I23" s="348">
        <f>G23+G24+G25+G26+G27</f>
        <v>7.9620094022702065E-2</v>
      </c>
      <c r="J23" s="348">
        <f>'[7]Calcul sous cat &gt;20'!N9/100</f>
        <v>7.3840441317509553E-2</v>
      </c>
    </row>
    <row r="24" spans="1:10" x14ac:dyDescent="0.25">
      <c r="A24" s="346"/>
      <c r="B24" s="18" t="s">
        <v>33</v>
      </c>
      <c r="C24" s="19">
        <f>'[7]F 4 TRI _ Granulo'!K11</f>
        <v>1.1108540925266912</v>
      </c>
      <c r="D24" s="20">
        <f>'[7]F 4 TRI _ Granulo'!H11</f>
        <v>0.77</v>
      </c>
      <c r="E24" s="20">
        <f>'[7]F 4 TRI _ Granulo'!E11</f>
        <v>0</v>
      </c>
      <c r="F24" s="20">
        <f t="shared" si="1"/>
        <v>1.8808540925266912</v>
      </c>
      <c r="G24" s="21">
        <f t="shared" si="0"/>
        <v>2.2789253348395093E-2</v>
      </c>
      <c r="H24" s="21">
        <f>'[7]Calcul sous cat &gt;20'!N33/100</f>
        <v>2.0970930652672259E-2</v>
      </c>
      <c r="I24" s="348"/>
      <c r="J24" s="348"/>
    </row>
    <row r="25" spans="1:10" x14ac:dyDescent="0.25">
      <c r="A25" s="346"/>
      <c r="B25" s="18" t="s">
        <v>34</v>
      </c>
      <c r="C25" s="19">
        <f>'[7]F 4 TRI _ Granulo'!K12</f>
        <v>0.37028469750889709</v>
      </c>
      <c r="D25" s="20">
        <f>'[7]F 4 TRI _ Granulo'!H12</f>
        <v>1.0700000000000003</v>
      </c>
      <c r="E25" s="20">
        <f>'[7]F 4 TRI _ Granulo'!E12</f>
        <v>0</v>
      </c>
      <c r="F25" s="20">
        <f t="shared" si="1"/>
        <v>1.4402846975088974</v>
      </c>
      <c r="G25" s="21">
        <f t="shared" si="0"/>
        <v>1.7451121272917699E-2</v>
      </c>
      <c r="H25" s="21">
        <f>'[7]Calcul sous cat &gt;20'!N34/100</f>
        <v>1.605872067991659E-2</v>
      </c>
      <c r="I25" s="348"/>
      <c r="J25" s="348"/>
    </row>
    <row r="26" spans="1:10" x14ac:dyDescent="0.25">
      <c r="A26" s="346"/>
      <c r="B26" s="18" t="s">
        <v>35</v>
      </c>
      <c r="C26" s="19">
        <f>'[7]F 4 TRI _ Granulo'!K13</f>
        <v>2.2957651245551602</v>
      </c>
      <c r="D26" s="20">
        <f>'[7]F 4 TRI _ Granulo'!H13</f>
        <v>0.13000000000000012</v>
      </c>
      <c r="E26" s="20">
        <f>'[7]F 4 TRI _ Granulo'!E13</f>
        <v>0</v>
      </c>
      <c r="F26" s="20">
        <f t="shared" si="1"/>
        <v>2.4257651245551601</v>
      </c>
      <c r="G26" s="21">
        <f t="shared" si="0"/>
        <v>2.9391634474381336E-2</v>
      </c>
      <c r="H26" s="21">
        <f>'[7]Calcul sous cat &gt;20'!N35/100</f>
        <v>2.7310231583465395E-2</v>
      </c>
      <c r="I26" s="348"/>
      <c r="J26" s="348"/>
    </row>
    <row r="27" spans="1:10" x14ac:dyDescent="0.25">
      <c r="A27" s="347"/>
      <c r="B27" s="18" t="s">
        <v>36</v>
      </c>
      <c r="C27" s="19">
        <f>'[7]F 4 TRI _ Granulo'!K14</f>
        <v>7.4056939501779426E-2</v>
      </c>
      <c r="D27" s="20">
        <f>'[7]F 4 TRI _ Granulo'!H14</f>
        <v>0.29000000000000004</v>
      </c>
      <c r="E27" s="20">
        <f>'[7]F 4 TRI _ Granulo'!E14</f>
        <v>0</v>
      </c>
      <c r="F27" s="20">
        <f t="shared" si="1"/>
        <v>0.36405693950177948</v>
      </c>
      <c r="G27" s="21">
        <f t="shared" si="0"/>
        <v>4.4110735971028868E-3</v>
      </c>
      <c r="H27" s="21">
        <f>'[7]Calcul sous cat &gt;20'!N36/100</f>
        <v>4.1859382898642257E-3</v>
      </c>
      <c r="I27" s="348"/>
      <c r="J27" s="348"/>
    </row>
    <row r="28" spans="1:10" x14ac:dyDescent="0.25">
      <c r="A28" s="345" t="s">
        <v>37</v>
      </c>
      <c r="B28" s="18" t="s">
        <v>38</v>
      </c>
      <c r="C28" s="19">
        <f>'[7]F 4 TRI _ Granulo'!K15</f>
        <v>3.4806761565836308</v>
      </c>
      <c r="D28" s="20">
        <f>'[7]F 4 TRI _ Granulo'!H15</f>
        <v>1.4700000000000002</v>
      </c>
      <c r="E28" s="20">
        <f>'[7]F 4 TRI _ Granulo'!E15</f>
        <v>0</v>
      </c>
      <c r="F28" s="20">
        <f t="shared" si="1"/>
        <v>4.950676156583631</v>
      </c>
      <c r="G28" s="21">
        <f t="shared" si="0"/>
        <v>5.9984564260740073E-2</v>
      </c>
      <c r="H28" s="21">
        <f>'[7]Calcul sous cat &gt;20'!N37/100</f>
        <v>5.5446505337759543E-2</v>
      </c>
      <c r="I28" s="348">
        <f>G28+G29+G30</f>
        <v>9.9847647640853923E-2</v>
      </c>
      <c r="J28" s="348">
        <f>'[7]Calcul sous cat &gt;20'!N10/100</f>
        <v>9.261949985724939E-2</v>
      </c>
    </row>
    <row r="29" spans="1:10" x14ac:dyDescent="0.25">
      <c r="A29" s="346"/>
      <c r="B29" s="18" t="s">
        <v>39</v>
      </c>
      <c r="C29" s="19">
        <f>'[7]F 4 TRI _ Granulo'!K16</f>
        <v>0</v>
      </c>
      <c r="D29" s="20">
        <f>'[7]F 4 TRI _ Granulo'!H16</f>
        <v>1.1499999999999999</v>
      </c>
      <c r="E29" s="20">
        <f>'[7]F 4 TRI _ Granulo'!E16</f>
        <v>0.89</v>
      </c>
      <c r="F29" s="20">
        <f t="shared" si="1"/>
        <v>2.04</v>
      </c>
      <c r="G29" s="21">
        <f t="shared" si="0"/>
        <v>2.4717534983414058E-2</v>
      </c>
      <c r="H29" s="21">
        <f>'[7]Calcul sous cat &gt;20'!N38/100</f>
        <v>2.2874731246518364E-2</v>
      </c>
      <c r="I29" s="348"/>
      <c r="J29" s="348"/>
    </row>
    <row r="30" spans="1:10" x14ac:dyDescent="0.25">
      <c r="A30" s="347"/>
      <c r="B30" s="18" t="s">
        <v>40</v>
      </c>
      <c r="C30" s="19">
        <f>'[7]F 4 TRI _ Granulo'!K17</f>
        <v>0</v>
      </c>
      <c r="D30" s="20">
        <f>'[7]F 4 TRI _ Granulo'!H17</f>
        <v>1.25</v>
      </c>
      <c r="E30" s="20">
        <f>'[7]F 4 TRI _ Granulo'!E17</f>
        <v>0</v>
      </c>
      <c r="F30" s="20">
        <f t="shared" si="1"/>
        <v>1.25</v>
      </c>
      <c r="G30" s="21">
        <f t="shared" si="0"/>
        <v>1.5145548396699789E-2</v>
      </c>
      <c r="H30" s="21">
        <f>'[7]Calcul sous cat &gt;20'!N39/100</f>
        <v>1.4298263272971495E-2</v>
      </c>
      <c r="I30" s="348"/>
      <c r="J30" s="348"/>
    </row>
    <row r="31" spans="1:10" ht="15" customHeight="1" x14ac:dyDescent="0.25">
      <c r="A31" s="352" t="s">
        <v>41</v>
      </c>
      <c r="B31" s="18" t="s">
        <v>42</v>
      </c>
      <c r="C31" s="19">
        <f>'[7]F 4 TRI _ Granulo'!K18</f>
        <v>1.25896797153025</v>
      </c>
      <c r="D31" s="20">
        <f>'[7]F 4 TRI _ Granulo'!H18</f>
        <v>0.69</v>
      </c>
      <c r="E31" s="20">
        <f>'[7]F 4 TRI _ Granulo'!E18</f>
        <v>0</v>
      </c>
      <c r="F31" s="20">
        <f t="shared" si="1"/>
        <v>1.9489679715302499</v>
      </c>
      <c r="G31" s="21">
        <f t="shared" si="0"/>
        <v>2.3614550989143373E-2</v>
      </c>
      <c r="H31" s="241">
        <f>G31*J31/I31</f>
        <v>2.7554450108205404E-2</v>
      </c>
      <c r="I31" s="355">
        <f>G31+G32+G33+G34</f>
        <v>5.3006185463524709E-2</v>
      </c>
      <c r="J31" s="355">
        <f>'[7]Calcul sous cat &gt;20'!N11/100</f>
        <v>6.1849843914138142E-2</v>
      </c>
    </row>
    <row r="32" spans="1:10" x14ac:dyDescent="0.25">
      <c r="A32" s="353"/>
      <c r="B32" s="18" t="s">
        <v>43</v>
      </c>
      <c r="C32" s="19">
        <f>'[7]F 4 TRI _ Granulo'!K19</f>
        <v>2.2957651245551602</v>
      </c>
      <c r="D32" s="20">
        <f>'[7]F 4 TRI _ Granulo'!H19</f>
        <v>0.13000000000000012</v>
      </c>
      <c r="E32" s="20">
        <f>'[7]F 4 TRI _ Granulo'!E19</f>
        <v>0</v>
      </c>
      <c r="F32" s="20">
        <f t="shared" si="1"/>
        <v>2.4257651245551601</v>
      </c>
      <c r="G32" s="21">
        <f t="shared" si="0"/>
        <v>2.9391634474381336E-2</v>
      </c>
      <c r="H32" s="241">
        <f>G32*J31/I31</f>
        <v>3.4295393805932738E-2</v>
      </c>
      <c r="I32" s="356"/>
      <c r="J32" s="356"/>
    </row>
    <row r="33" spans="1:10" ht="25.5" x14ac:dyDescent="0.25">
      <c r="A33" s="353"/>
      <c r="B33" s="18" t="s">
        <v>44</v>
      </c>
      <c r="C33" s="19">
        <f>'[7]F 4 TRI _ Granulo'!K20</f>
        <v>0</v>
      </c>
      <c r="D33" s="20">
        <f>'[7]F 4 TRI _ Granulo'!H20</f>
        <v>0</v>
      </c>
      <c r="E33" s="20">
        <f>'[7]F 4 TRI _ Granulo'!E20</f>
        <v>0</v>
      </c>
      <c r="F33" s="20">
        <f t="shared" si="1"/>
        <v>0</v>
      </c>
      <c r="G33" s="21">
        <f t="shared" si="0"/>
        <v>0</v>
      </c>
      <c r="H33" s="175">
        <f>G33*J31/I31</f>
        <v>0</v>
      </c>
      <c r="I33" s="356"/>
      <c r="J33" s="356"/>
    </row>
    <row r="34" spans="1:10" x14ac:dyDescent="0.25">
      <c r="A34" s="354"/>
      <c r="B34" s="18" t="s">
        <v>120</v>
      </c>
      <c r="C34" s="19">
        <f>'[7]F 4 TRI _ Granulo'!K21</f>
        <v>0</v>
      </c>
      <c r="D34" s="20">
        <f>'[7]F 4 TRI _ Granulo'!H21</f>
        <v>0</v>
      </c>
      <c r="E34" s="20">
        <f>'[7]F 4 TRI _ Granulo'!E21</f>
        <v>0</v>
      </c>
      <c r="F34" s="20">
        <f t="shared" si="1"/>
        <v>0</v>
      </c>
      <c r="G34" s="21">
        <f t="shared" si="0"/>
        <v>0</v>
      </c>
      <c r="H34" s="175">
        <f>G34*J31/I31</f>
        <v>0</v>
      </c>
      <c r="I34" s="357"/>
      <c r="J34" s="357"/>
    </row>
    <row r="35" spans="1:10" ht="15" customHeight="1" x14ac:dyDescent="0.25">
      <c r="A35" s="251" t="s">
        <v>45</v>
      </c>
      <c r="B35" s="18" t="s">
        <v>46</v>
      </c>
      <c r="C35" s="19">
        <f>'[7]F 4 TRI _ Granulo'!K22</f>
        <v>0.81462633451957356</v>
      </c>
      <c r="D35" s="20">
        <f>'[7]F 4 TRI _ Granulo'!H22</f>
        <v>1.35</v>
      </c>
      <c r="E35" s="20">
        <f>'[7]F 4 TRI _ Granulo'!E22</f>
        <v>2.06</v>
      </c>
      <c r="F35" s="20">
        <f t="shared" si="1"/>
        <v>4.2246263345195736</v>
      </c>
      <c r="G35" s="21">
        <f t="shared" si="0"/>
        <v>5.1187426085950907E-2</v>
      </c>
      <c r="H35" s="21">
        <f>'[7]Calcul sous cat &gt;20'!N43/100</f>
        <v>4.741274437674764E-2</v>
      </c>
      <c r="I35" s="252">
        <f>G35</f>
        <v>5.1187426085950907E-2</v>
      </c>
      <c r="J35" s="252">
        <f>'[7]Calcul sous cat &gt;20'!N12/100</f>
        <v>4.741274437674764E-2</v>
      </c>
    </row>
    <row r="36" spans="1:10" ht="15" customHeight="1" x14ac:dyDescent="0.25">
      <c r="A36" s="345" t="s">
        <v>47</v>
      </c>
      <c r="B36" s="18" t="s">
        <v>48</v>
      </c>
      <c r="C36" s="19">
        <f>'[7]F 4 TRI _ Granulo'!K23</f>
        <v>3.9250177935943076</v>
      </c>
      <c r="D36" s="20">
        <f>'[7]F 4 TRI _ Granulo'!H23</f>
        <v>1.0000000000000009E-2</v>
      </c>
      <c r="E36" s="20">
        <f>'[7]F 4 TRI _ Granulo'!E23</f>
        <v>0</v>
      </c>
      <c r="F36" s="20">
        <f t="shared" si="1"/>
        <v>3.9350177935943078</v>
      </c>
      <c r="G36" s="21">
        <f t="shared" si="0"/>
        <v>4.7678401947805926E-2</v>
      </c>
      <c r="H36" s="21">
        <f>'[7]Calcul sous cat &gt;20'!N44/100</f>
        <v>4.6082282851935955E-2</v>
      </c>
      <c r="I36" s="348">
        <f>G36+G37</f>
        <v>9.3804519931821984E-2</v>
      </c>
      <c r="J36" s="348">
        <f>'[7]Calcul sous cat &gt;20'!N13/100</f>
        <v>8.9804909456383322E-2</v>
      </c>
    </row>
    <row r="37" spans="1:10" ht="25.5" x14ac:dyDescent="0.25">
      <c r="A37" s="347"/>
      <c r="B37" s="18" t="s">
        <v>49</v>
      </c>
      <c r="C37" s="19">
        <f>'[7]F 4 TRI _ Granulo'!K24</f>
        <v>3.7769039145907488</v>
      </c>
      <c r="D37" s="20">
        <f>'[7]F 4 TRI _ Granulo'!H24</f>
        <v>3.0000000000000027E-2</v>
      </c>
      <c r="E37" s="20">
        <f>'[7]F 4 TRI _ Granulo'!E24</f>
        <v>0</v>
      </c>
      <c r="F37" s="20">
        <f t="shared" si="1"/>
        <v>3.8069039145907491</v>
      </c>
      <c r="G37" s="21">
        <f t="shared" si="0"/>
        <v>4.6126117984016057E-2</v>
      </c>
      <c r="H37" s="21">
        <f>'[7]Calcul sous cat &gt;20'!N45/100</f>
        <v>4.3722626604447361E-2</v>
      </c>
      <c r="I37" s="348"/>
      <c r="J37" s="348"/>
    </row>
    <row r="38" spans="1:10" x14ac:dyDescent="0.25">
      <c r="A38" s="345" t="s">
        <v>50</v>
      </c>
      <c r="B38" s="18" t="s">
        <v>51</v>
      </c>
      <c r="C38" s="19">
        <f>'[7]F 4 TRI _ Granulo'!K25</f>
        <v>1.1108540925266912</v>
      </c>
      <c r="D38" s="20">
        <f>'[7]F 4 TRI _ Granulo'!H25</f>
        <v>6.99</v>
      </c>
      <c r="E38" s="20">
        <f>'[7]F 4 TRI _ Granulo'!E25</f>
        <v>0</v>
      </c>
      <c r="F38" s="20">
        <f t="shared" si="1"/>
        <v>8.1008540925266921</v>
      </c>
      <c r="G38" s="21">
        <f t="shared" si="0"/>
        <v>9.8153502170373247E-2</v>
      </c>
      <c r="H38" s="21">
        <f>'[7]Calcul sous cat &gt;20'!N46/100</f>
        <v>0.10458001468601263</v>
      </c>
      <c r="I38" s="348">
        <f>G38+G39+G40+G41+G42</f>
        <v>0.3439529247466101</v>
      </c>
      <c r="J38" s="348">
        <f>'[7]Calcul sous cat &gt;20'!N14/100</f>
        <v>0.35952175836181427</v>
      </c>
    </row>
    <row r="39" spans="1:10" x14ac:dyDescent="0.25">
      <c r="A39" s="346"/>
      <c r="B39" s="18" t="s">
        <v>52</v>
      </c>
      <c r="C39" s="19">
        <f>'[7]F 4 TRI _ Granulo'!K26</f>
        <v>2.8882206405693958</v>
      </c>
      <c r="D39" s="20">
        <f>'[7]F 4 TRI _ Granulo'!H26</f>
        <v>1.4000000000000004</v>
      </c>
      <c r="E39" s="20">
        <f>'[7]F 4 TRI _ Granulo'!E26</f>
        <v>0</v>
      </c>
      <c r="F39" s="20">
        <f t="shared" si="1"/>
        <v>4.2882206405693957</v>
      </c>
      <c r="G39" s="21">
        <f t="shared" si="0"/>
        <v>5.1957962597976602E-2</v>
      </c>
      <c r="H39" s="21">
        <f>'[7]Calcul sous cat &gt;20'!N47/100</f>
        <v>4.9458500506806377E-2</v>
      </c>
      <c r="I39" s="348"/>
      <c r="J39" s="348"/>
    </row>
    <row r="40" spans="1:10" ht="25.5" x14ac:dyDescent="0.25">
      <c r="A40" s="346"/>
      <c r="B40" s="18" t="s">
        <v>53</v>
      </c>
      <c r="C40" s="19">
        <f>'[7]F 4 TRI _ Granulo'!K27</f>
        <v>0.22217081850533826</v>
      </c>
      <c r="D40" s="20">
        <f>'[7]F 4 TRI _ Granulo'!H27</f>
        <v>0.31000000000000005</v>
      </c>
      <c r="E40" s="20">
        <f>'[7]F 4 TRI _ Granulo'!E27</f>
        <v>0.14000000000000001</v>
      </c>
      <c r="F40" s="20">
        <f t="shared" si="1"/>
        <v>0.67217081850533833</v>
      </c>
      <c r="G40" s="21">
        <f t="shared" si="0"/>
        <v>8.1443165300175303E-3</v>
      </c>
      <c r="H40" s="21">
        <f>'[7]Calcul sous cat &gt;20'!N48/100</f>
        <v>7.7506839511415626E-3</v>
      </c>
      <c r="I40" s="348"/>
      <c r="J40" s="348"/>
    </row>
    <row r="41" spans="1:10" x14ac:dyDescent="0.25">
      <c r="A41" s="346"/>
      <c r="B41" s="18" t="s">
        <v>54</v>
      </c>
      <c r="C41" s="19">
        <f>'[7]F 4 TRI _ Granulo'!K28</f>
        <v>1.25896797153025</v>
      </c>
      <c r="D41" s="20">
        <f>'[7]F 4 TRI _ Granulo'!H28</f>
        <v>0.87000000000000011</v>
      </c>
      <c r="E41" s="20">
        <f>'[7]F 4 TRI _ Granulo'!E28</f>
        <v>0</v>
      </c>
      <c r="F41" s="20">
        <f t="shared" si="1"/>
        <v>2.1289679715302503</v>
      </c>
      <c r="G41" s="21">
        <f t="shared" si="0"/>
        <v>2.5795509958268147E-2</v>
      </c>
      <c r="H41" s="21">
        <f>'[7]Calcul sous cat &gt;20'!N49/100</f>
        <v>2.7463750698119425E-2</v>
      </c>
      <c r="I41" s="348"/>
      <c r="J41" s="348"/>
    </row>
    <row r="42" spans="1:10" x14ac:dyDescent="0.25">
      <c r="A42" s="347"/>
      <c r="B42" s="18" t="s">
        <v>55</v>
      </c>
      <c r="C42" s="19">
        <f>'[7]F 4 TRI _ Granulo'!K29</f>
        <v>1.407081850533809</v>
      </c>
      <c r="D42" s="20">
        <f>'[7]F 4 TRI _ Granulo'!H29</f>
        <v>1.33</v>
      </c>
      <c r="E42" s="20">
        <f>'[7]F 4 TRI _ Granulo'!E29</f>
        <v>10.459999999999999</v>
      </c>
      <c r="F42" s="20">
        <f t="shared" si="1"/>
        <v>13.197081850533808</v>
      </c>
      <c r="G42" s="21">
        <f t="shared" si="0"/>
        <v>0.15990163348997455</v>
      </c>
      <c r="H42" s="21">
        <f>'[7]Calcul sous cat &gt;20'!N50/100</f>
        <v>0.17026880851973428</v>
      </c>
      <c r="I42" s="348"/>
      <c r="J42" s="348"/>
    </row>
    <row r="43" spans="1:10" ht="38.25" x14ac:dyDescent="0.25">
      <c r="A43" s="251" t="s">
        <v>56</v>
      </c>
      <c r="B43" s="18" t="s">
        <v>56</v>
      </c>
      <c r="C43" s="19">
        <f>'[7]F 4 TRI _ Granulo'!K30</f>
        <v>1.9995373665480425</v>
      </c>
      <c r="D43" s="20">
        <f>'[7]F 4 TRI _ Granulo'!H30</f>
        <v>0.35000000000000009</v>
      </c>
      <c r="E43" s="20">
        <f>'[7]F 4 TRI _ Granulo'!E30</f>
        <v>0</v>
      </c>
      <c r="F43" s="20">
        <f t="shared" si="1"/>
        <v>2.3495373665480423</v>
      </c>
      <c r="G43" s="21">
        <f t="shared" si="0"/>
        <v>2.8468025515926358E-2</v>
      </c>
      <c r="H43" s="21">
        <f>J43</f>
        <v>2.6931131873929651E-2</v>
      </c>
      <c r="I43" s="252">
        <f>G43</f>
        <v>2.8468025515926358E-2</v>
      </c>
      <c r="J43" s="252">
        <f>'[7]Calcul sous cat &gt;20'!N15/100</f>
        <v>2.6931131873929651E-2</v>
      </c>
    </row>
    <row r="44" spans="1:10" ht="25.5" x14ac:dyDescent="0.25">
      <c r="A44" s="345" t="s">
        <v>57</v>
      </c>
      <c r="B44" s="18" t="s">
        <v>58</v>
      </c>
      <c r="C44" s="19">
        <f>'[7]F 4 TRI _ Granulo'!K31</f>
        <v>6.1467259786476873</v>
      </c>
      <c r="D44" s="20">
        <f>'[7]F 4 TRI _ Granulo'!H31</f>
        <v>0.43000000000000016</v>
      </c>
      <c r="E44" s="20">
        <f>'[7]F 4 TRI _ Granulo'!E31</f>
        <v>0</v>
      </c>
      <c r="F44" s="20">
        <f t="shared" si="1"/>
        <v>6.576725978647687</v>
      </c>
      <c r="G44" s="21">
        <f t="shared" si="0"/>
        <v>7.9686497281153068E-2</v>
      </c>
      <c r="H44" s="21">
        <f>G44*J44/I44</f>
        <v>7.3663453865790596E-2</v>
      </c>
      <c r="I44" s="348">
        <f>G44+G45</f>
        <v>8.0583803650221608E-2</v>
      </c>
      <c r="J44" s="348">
        <f>'[7]Calcul sous cat &gt;20'!N16/100</f>
        <v>7.4492938014003918E-2</v>
      </c>
    </row>
    <row r="45" spans="1:10" x14ac:dyDescent="0.25">
      <c r="A45" s="347"/>
      <c r="B45" s="18" t="s">
        <v>59</v>
      </c>
      <c r="C45" s="19">
        <f>'[7]F 4 TRI _ Granulo'!K32</f>
        <v>7.4056939501779426E-2</v>
      </c>
      <c r="D45" s="20">
        <f>'[7]F 4 TRI _ Granulo'!H32</f>
        <v>0</v>
      </c>
      <c r="E45" s="20">
        <f>'[7]F 4 TRI _ Granulo'!E32</f>
        <v>0</v>
      </c>
      <c r="F45" s="20">
        <f t="shared" si="1"/>
        <v>7.4056939501779426E-2</v>
      </c>
      <c r="G45" s="21">
        <f t="shared" si="0"/>
        <v>8.9730636906853491E-4</v>
      </c>
      <c r="H45" s="21">
        <f>G45*J44/I44</f>
        <v>8.2948414821331739E-4</v>
      </c>
      <c r="I45" s="348"/>
      <c r="J45" s="348"/>
    </row>
    <row r="46" spans="1:10" ht="25.5" x14ac:dyDescent="0.25">
      <c r="A46" s="345" t="s">
        <v>60</v>
      </c>
      <c r="B46" s="18" t="s">
        <v>61</v>
      </c>
      <c r="C46" s="19">
        <f>'[7]F 4 TRI _ Granulo'!K33</f>
        <v>1.8514234875444839</v>
      </c>
      <c r="D46" s="20">
        <f>'[7]F 4 TRI _ Granulo'!H33</f>
        <v>0.37000000000000011</v>
      </c>
      <c r="E46" s="20">
        <f>'[7]F 4 TRI _ Granulo'!E33</f>
        <v>0</v>
      </c>
      <c r="F46" s="20">
        <f t="shared" si="1"/>
        <v>2.221423487544484</v>
      </c>
      <c r="G46" s="21">
        <f t="shared" si="0"/>
        <v>2.6915741552136493E-2</v>
      </c>
      <c r="H46" s="21">
        <f t="shared" ref="H46:H51" si="2">G46*$J$46/$I$46</f>
        <v>2.570220432240073E-2</v>
      </c>
      <c r="I46" s="348">
        <f>G46+G47+G50+G51+G48+G49</f>
        <v>4.5321344986788983E-2</v>
      </c>
      <c r="J46" s="348">
        <f>'[7]Calcul sous cat &gt;20'!N17/100</f>
        <v>4.327796307451167E-2</v>
      </c>
    </row>
    <row r="47" spans="1:10" x14ac:dyDescent="0.25">
      <c r="A47" s="346"/>
      <c r="B47" s="18" t="s">
        <v>62</v>
      </c>
      <c r="C47" s="19">
        <f>'[7]F 4 TRI _ Granulo'!K34</f>
        <v>0.37028469750889709</v>
      </c>
      <c r="D47" s="20">
        <f>'[7]F 4 TRI _ Granulo'!H34</f>
        <v>5.0000000000000044E-2</v>
      </c>
      <c r="E47" s="20">
        <f>'[7]F 4 TRI _ Granulo'!E34</f>
        <v>0</v>
      </c>
      <c r="F47" s="20">
        <f t="shared" si="1"/>
        <v>0.42028469750889713</v>
      </c>
      <c r="G47" s="21">
        <f t="shared" si="0"/>
        <v>5.0923537812106665E-3</v>
      </c>
      <c r="H47" s="21">
        <f t="shared" si="2"/>
        <v>4.8627572498086075E-3</v>
      </c>
      <c r="I47" s="348"/>
      <c r="J47" s="348"/>
    </row>
    <row r="48" spans="1:10" x14ac:dyDescent="0.25">
      <c r="A48" s="346"/>
      <c r="B48" s="18" t="s">
        <v>63</v>
      </c>
      <c r="C48" s="19">
        <f>'[7]F 4 TRI _ Granulo'!K35</f>
        <v>0</v>
      </c>
      <c r="D48" s="20">
        <f>'[7]F 4 TRI _ Granulo'!H35</f>
        <v>0</v>
      </c>
      <c r="E48" s="20">
        <f>'[7]F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x14ac:dyDescent="0.25">
      <c r="A49" s="346"/>
      <c r="B49" s="18" t="s">
        <v>64</v>
      </c>
      <c r="C49" s="19">
        <f>'[7]F 4 TRI _ Granulo'!K36</f>
        <v>0.4887758007117437</v>
      </c>
      <c r="D49" s="20">
        <f>'[7]F 4 TRI _ Granulo'!H36</f>
        <v>0</v>
      </c>
      <c r="E49" s="20">
        <f>'[7]F 4 TRI _ Granulo'!E36</f>
        <v>0</v>
      </c>
      <c r="F49" s="20">
        <f t="shared" si="1"/>
        <v>0.4887758007117437</v>
      </c>
      <c r="G49" s="21">
        <f t="shared" si="0"/>
        <v>5.9222220358523241E-3</v>
      </c>
      <c r="H49" s="21">
        <f t="shared" si="2"/>
        <v>5.6552096294006119E-3</v>
      </c>
      <c r="I49" s="348"/>
      <c r="J49" s="348"/>
    </row>
    <row r="50" spans="1:10" x14ac:dyDescent="0.25">
      <c r="A50" s="346"/>
      <c r="B50" s="18" t="s">
        <v>65</v>
      </c>
      <c r="C50" s="19">
        <f>'[7]F 4 TRI _ Granulo'!K37</f>
        <v>0</v>
      </c>
      <c r="D50" s="20">
        <f>'[7]F 4 TRI _ Granulo'!H37</f>
        <v>0.21000000000000019</v>
      </c>
      <c r="E50" s="20">
        <f>'[7]F 4 TRI _ Granulo'!E37</f>
        <v>0</v>
      </c>
      <c r="F50" s="20">
        <f t="shared" si="1"/>
        <v>0.21000000000000019</v>
      </c>
      <c r="G50" s="21">
        <f t="shared" si="0"/>
        <v>2.5444521306455668E-3</v>
      </c>
      <c r="H50" s="21">
        <f t="shared" si="2"/>
        <v>2.4297316283760028E-3</v>
      </c>
      <c r="I50" s="348"/>
      <c r="J50" s="348"/>
    </row>
    <row r="51" spans="1:10" x14ac:dyDescent="0.25">
      <c r="A51" s="347"/>
      <c r="B51" s="18" t="s">
        <v>66</v>
      </c>
      <c r="C51" s="19">
        <f>'[7]F 4 TRI _ Granulo'!K38</f>
        <v>0</v>
      </c>
      <c r="D51" s="20">
        <f>'[7]F 4 TRI _ Granulo'!H38</f>
        <v>0</v>
      </c>
      <c r="E51" s="20">
        <f>'[7]F 4 TRI _ Granulo'!E38</f>
        <v>0.4</v>
      </c>
      <c r="F51" s="20">
        <f t="shared" si="1"/>
        <v>0.4</v>
      </c>
      <c r="G51" s="21">
        <f t="shared" si="0"/>
        <v>4.8465754869439328E-3</v>
      </c>
      <c r="H51" s="21">
        <f t="shared" si="2"/>
        <v>4.6280602445257155E-3</v>
      </c>
      <c r="I51" s="348"/>
      <c r="J51" s="348"/>
    </row>
    <row r="52" spans="1:10" ht="15" customHeight="1" x14ac:dyDescent="0.25">
      <c r="A52" s="253" t="s">
        <v>67</v>
      </c>
      <c r="B52" s="18" t="s">
        <v>68</v>
      </c>
      <c r="C52" s="19">
        <f>'[7]F 4 TRI _ Granulo'!K39</f>
        <v>0</v>
      </c>
      <c r="D52" s="20">
        <f>'[7]F 4 TRI _ Granulo'!H39</f>
        <v>0</v>
      </c>
      <c r="E52" s="20">
        <f>'[7]F 4 TRI _ Granulo'!E39</f>
        <v>0</v>
      </c>
      <c r="F52" s="20">
        <f t="shared" si="1"/>
        <v>0</v>
      </c>
      <c r="G52" s="21">
        <f t="shared" si="0"/>
        <v>0</v>
      </c>
      <c r="H52" s="21">
        <f>J52</f>
        <v>0</v>
      </c>
      <c r="I52" s="254">
        <f>G52</f>
        <v>0</v>
      </c>
      <c r="J52" s="254">
        <f>'[7]Calcul sous cat &gt;20'!N18/100</f>
        <v>0</v>
      </c>
    </row>
    <row r="53" spans="1:10" ht="15" customHeight="1" x14ac:dyDescent="0.25">
      <c r="A53" s="345" t="s">
        <v>69</v>
      </c>
      <c r="B53" s="18" t="s">
        <v>121</v>
      </c>
      <c r="C53" s="19">
        <f>'[7]F 4 TRI _ Granulo'!K40</f>
        <v>7.4056939501779351E-3</v>
      </c>
      <c r="D53" s="20">
        <f>'[7]F 4 TRI _ Granulo'!H40</f>
        <v>0</v>
      </c>
      <c r="E53" s="20">
        <f>'[7]F 4 TRI _ Granulo'!E40</f>
        <v>0</v>
      </c>
      <c r="F53" s="20">
        <f t="shared" si="1"/>
        <v>7.4056939501779351E-3</v>
      </c>
      <c r="G53" s="21">
        <f t="shared" si="0"/>
        <v>8.9730636906853398E-5</v>
      </c>
      <c r="H53" s="241">
        <f>G53*J53/I53</f>
        <v>8.4701260569249677E-5</v>
      </c>
      <c r="I53" s="348">
        <f>SUM(G53:G62)</f>
        <v>5.1146463036906443E-3</v>
      </c>
      <c r="J53" s="348">
        <f>'[7]Calcul sous cat &gt;20'!N19/100</f>
        <v>4.8279718524472321E-3</v>
      </c>
    </row>
    <row r="54" spans="1:10" ht="25.5" x14ac:dyDescent="0.25">
      <c r="A54" s="346"/>
      <c r="B54" s="18" t="s">
        <v>70</v>
      </c>
      <c r="C54" s="19">
        <f>'[7]F 4 TRI _ Granulo'!K41</f>
        <v>0</v>
      </c>
      <c r="D54" s="20">
        <f>'[7]F 4 TRI _ Granulo'!H41</f>
        <v>0</v>
      </c>
      <c r="E54" s="20">
        <f>'[7]F 4 TRI _ Granulo'!E41</f>
        <v>0</v>
      </c>
      <c r="F54" s="20">
        <f t="shared" si="1"/>
        <v>0</v>
      </c>
      <c r="G54" s="21">
        <f t="shared" si="0"/>
        <v>0</v>
      </c>
      <c r="H54" s="21">
        <f>G54*J53/I53</f>
        <v>0</v>
      </c>
      <c r="I54" s="348"/>
      <c r="J54" s="348"/>
    </row>
    <row r="55" spans="1:10" x14ac:dyDescent="0.25">
      <c r="A55" s="346"/>
      <c r="B55" s="18" t="s">
        <v>71</v>
      </c>
      <c r="C55" s="19">
        <f>'[7]F 4 TRI _ Granulo'!K42</f>
        <v>0.41471886120996437</v>
      </c>
      <c r="D55" s="20">
        <f>'[7]F 4 TRI _ Granulo'!H42</f>
        <v>0</v>
      </c>
      <c r="E55" s="20">
        <f>'[7]F 4 TRI _ Granulo'!E42</f>
        <v>0</v>
      </c>
      <c r="F55" s="20">
        <f>SUM(C55:E55)</f>
        <v>0.41471886120996437</v>
      </c>
      <c r="G55" s="21">
        <f t="shared" si="0"/>
        <v>5.024915666783791E-3</v>
      </c>
      <c r="H55" s="241">
        <f>G55*J53/I53</f>
        <v>4.7432705918779823E-3</v>
      </c>
      <c r="I55" s="348"/>
      <c r="J55" s="348"/>
    </row>
    <row r="56" spans="1:10" x14ac:dyDescent="0.25">
      <c r="A56" s="346"/>
      <c r="B56" s="18" t="s">
        <v>72</v>
      </c>
      <c r="C56" s="19">
        <f>'[7]F 4 TRI _ Granulo'!K43</f>
        <v>0</v>
      </c>
      <c r="D56" s="20">
        <f>'[7]F 4 TRI _ Granulo'!H43</f>
        <v>0</v>
      </c>
      <c r="E56" s="20">
        <f>'[7]F 4 TRI _ Granulo'!E43</f>
        <v>0</v>
      </c>
      <c r="F56" s="20">
        <f t="shared" si="1"/>
        <v>0</v>
      </c>
      <c r="G56" s="21">
        <f>F56/$F$64</f>
        <v>0</v>
      </c>
      <c r="H56" s="241">
        <f>G56*J53/I53</f>
        <v>0</v>
      </c>
      <c r="I56" s="348"/>
      <c r="J56" s="348"/>
    </row>
    <row r="57" spans="1:10" x14ac:dyDescent="0.25">
      <c r="A57" s="346"/>
      <c r="B57" s="18" t="s">
        <v>122</v>
      </c>
      <c r="C57" s="19">
        <f>'[7]F 4 TRI _ Granulo'!K44</f>
        <v>0</v>
      </c>
      <c r="D57" s="20">
        <f>'[7]F 4 TRI _ Granulo'!H44</f>
        <v>0</v>
      </c>
      <c r="E57" s="20">
        <f>'[7]F 4 TRI _ Granulo'!E44</f>
        <v>0</v>
      </c>
      <c r="F57" s="20">
        <f t="shared" si="1"/>
        <v>0</v>
      </c>
      <c r="G57" s="21">
        <f t="shared" ref="G57:G62" si="3">F57/$F$64</f>
        <v>0</v>
      </c>
      <c r="H57" s="241">
        <f>G57*J53/I53</f>
        <v>0</v>
      </c>
      <c r="I57" s="348"/>
      <c r="J57" s="348"/>
    </row>
    <row r="58" spans="1:10" x14ac:dyDescent="0.25">
      <c r="A58" s="346"/>
      <c r="B58" s="18" t="s">
        <v>123</v>
      </c>
      <c r="C58" s="19">
        <f>'[7]F 4 TRI _ Granulo'!K45</f>
        <v>0</v>
      </c>
      <c r="D58" s="20">
        <f>'[7]F 4 TRI _ Granulo'!H45</f>
        <v>0</v>
      </c>
      <c r="E58" s="20">
        <f>'[7]F 4 TRI _ Granulo'!E45</f>
        <v>0</v>
      </c>
      <c r="F58" s="20">
        <f t="shared" si="1"/>
        <v>0</v>
      </c>
      <c r="G58" s="21">
        <f t="shared" si="3"/>
        <v>0</v>
      </c>
      <c r="H58" s="241">
        <f>G58*J53/I53</f>
        <v>0</v>
      </c>
      <c r="I58" s="348"/>
      <c r="J58" s="348"/>
    </row>
    <row r="59" spans="1:10" x14ac:dyDescent="0.25">
      <c r="A59" s="346"/>
      <c r="B59" s="18" t="s">
        <v>124</v>
      </c>
      <c r="C59" s="19">
        <f>'[7]F 4 TRI _ Granulo'!K46</f>
        <v>0</v>
      </c>
      <c r="D59" s="20">
        <f>'[7]F 4 TRI _ Granulo'!H46</f>
        <v>0</v>
      </c>
      <c r="E59" s="20">
        <f>'[7]F 4 TRI _ Granulo'!E46</f>
        <v>0</v>
      </c>
      <c r="F59" s="20">
        <f t="shared" si="1"/>
        <v>0</v>
      </c>
      <c r="G59" s="21">
        <f t="shared" si="3"/>
        <v>0</v>
      </c>
      <c r="H59" s="241">
        <f>G59*J53/I53</f>
        <v>0</v>
      </c>
      <c r="I59" s="348"/>
      <c r="J59" s="348"/>
    </row>
    <row r="60" spans="1:10" x14ac:dyDescent="0.25">
      <c r="A60" s="346"/>
      <c r="B60" s="18" t="s">
        <v>125</v>
      </c>
      <c r="C60" s="19">
        <f>'[7]F 4 TRI _ Granulo'!K47</f>
        <v>0</v>
      </c>
      <c r="D60" s="20">
        <f>'[7]F 4 TRI _ Granulo'!H47</f>
        <v>0</v>
      </c>
      <c r="E60" s="20">
        <f>'[7]F 4 TRI _ Granulo'!E47</f>
        <v>0</v>
      </c>
      <c r="F60" s="20">
        <f t="shared" si="1"/>
        <v>0</v>
      </c>
      <c r="G60" s="21">
        <f t="shared" si="3"/>
        <v>0</v>
      </c>
      <c r="H60" s="241">
        <f>G60*J53/I53</f>
        <v>0</v>
      </c>
      <c r="I60" s="348"/>
      <c r="J60" s="348"/>
    </row>
    <row r="61" spans="1:10" x14ac:dyDescent="0.25">
      <c r="A61" s="346"/>
      <c r="B61" s="18" t="s">
        <v>126</v>
      </c>
      <c r="C61" s="19">
        <f>'[7]F 4 TRI _ Granulo'!K48</f>
        <v>0</v>
      </c>
      <c r="D61" s="20">
        <f>'[7]F 4 TRI _ Granulo'!H48</f>
        <v>0</v>
      </c>
      <c r="E61" s="20">
        <f>'[7]F 4 TRI _ Granulo'!E48</f>
        <v>0</v>
      </c>
      <c r="F61" s="20">
        <f t="shared" si="1"/>
        <v>0</v>
      </c>
      <c r="G61" s="21">
        <f t="shared" si="3"/>
        <v>0</v>
      </c>
      <c r="H61" s="241">
        <f>G61*J53/I53</f>
        <v>0</v>
      </c>
      <c r="I61" s="348"/>
      <c r="J61" s="348"/>
    </row>
    <row r="62" spans="1:10" x14ac:dyDescent="0.25">
      <c r="A62" s="358"/>
      <c r="B62" s="18" t="s">
        <v>73</v>
      </c>
      <c r="C62" s="19">
        <f>'[7]F 4 TRI _ Granulo'!K49</f>
        <v>0</v>
      </c>
      <c r="D62" s="20">
        <f>'[7]F 4 TRI _ Granulo'!H49</f>
        <v>0</v>
      </c>
      <c r="E62" s="20">
        <f>'[7]F 4 TRI _ Granulo'!E49</f>
        <v>0</v>
      </c>
      <c r="F62" s="20">
        <f t="shared" si="1"/>
        <v>0</v>
      </c>
      <c r="G62" s="21">
        <f t="shared" si="3"/>
        <v>0</v>
      </c>
      <c r="H62" s="241">
        <f>G62*J53/I53</f>
        <v>0</v>
      </c>
      <c r="I62" s="348"/>
      <c r="J62" s="348"/>
    </row>
    <row r="63" spans="1:10" x14ac:dyDescent="0.25">
      <c r="A63" s="22" t="s">
        <v>74</v>
      </c>
      <c r="B63" s="23">
        <f>'[7]F 3 _ Criblage et Tri'!C27+'[7]F 3 _ Criblage et Tri'!D27</f>
        <v>5.5000000000000009</v>
      </c>
      <c r="C63" s="19">
        <f>'[7]F 4 TRI _ Granulo'!K50</f>
        <v>1.0367971530249118</v>
      </c>
      <c r="D63" s="20">
        <f>'[7]F 4 TRI _ Granulo'!H50</f>
        <v>0.20000000000000018</v>
      </c>
      <c r="E63" s="20">
        <f>'[7]F 4 TRI _ Granulo'!E50</f>
        <v>0</v>
      </c>
      <c r="F63" s="19">
        <f>SUM(B63:E63)</f>
        <v>6.7367971530249129</v>
      </c>
      <c r="G63" s="21">
        <f t="shared" si="0"/>
        <v>8.1625989855910533E-2</v>
      </c>
      <c r="H63" s="21">
        <f>J63</f>
        <v>4.0135954492021141E-2</v>
      </c>
      <c r="I63" s="24">
        <f>G63</f>
        <v>8.1625989855910533E-2</v>
      </c>
      <c r="J63" s="24">
        <f>'[7]Calcul sous cat &gt;20'!N20/100</f>
        <v>4.0135954492021141E-2</v>
      </c>
    </row>
    <row r="64" spans="1:10" x14ac:dyDescent="0.25">
      <c r="A64" s="25" t="s">
        <v>25</v>
      </c>
      <c r="B64" s="90">
        <f>B63</f>
        <v>5.5000000000000009</v>
      </c>
      <c r="C64" s="19">
        <f>SUM(C18:C63)</f>
        <v>42.012501779359447</v>
      </c>
      <c r="D64" s="19">
        <f>SUM(D18:D63)</f>
        <v>21.070000000000004</v>
      </c>
      <c r="E64" s="19">
        <f>SUM(E18:E63)</f>
        <v>13.95</v>
      </c>
      <c r="F64" s="19">
        <f>SUM(B64:E64)</f>
        <v>82.53250177935945</v>
      </c>
      <c r="G64" s="21">
        <f t="shared" si="0"/>
        <v>1</v>
      </c>
      <c r="H64" s="21">
        <f>SUM(H18:H63)</f>
        <v>0.99999999999999989</v>
      </c>
      <c r="I64" s="24">
        <f>SUM(I18:I63)</f>
        <v>0.99999999999999978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6.664041294547908E-2</v>
      </c>
      <c r="C65" s="235">
        <f>C64/$F$64</f>
        <v>0.50904190317257958</v>
      </c>
      <c r="D65" s="235">
        <f>D64/$F$64</f>
        <v>0.25529336377477169</v>
      </c>
      <c r="E65" s="235">
        <f>E64/$F$64</f>
        <v>0.16902432010716964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Q12" sqref="Q12"/>
    </sheetView>
  </sheetViews>
  <sheetFormatPr baseColWidth="10" defaultRowHeight="15" x14ac:dyDescent="0.25"/>
  <sheetData>
    <row r="1" spans="1:10" s="1" customFormat="1" ht="12.75" x14ac:dyDescent="0.2"/>
    <row r="2" spans="1:10" s="1" customFormat="1" ht="15.75" x14ac:dyDescent="0.25">
      <c r="A2" s="1" t="s">
        <v>0</v>
      </c>
      <c r="B2" s="336" t="str">
        <f>'[8]F 1 _ Echant et Séchage'!D5</f>
        <v>STO-A15-PB-PAR</v>
      </c>
      <c r="C2" s="336"/>
      <c r="D2" s="336"/>
      <c r="E2" s="336"/>
      <c r="F2" s="336"/>
      <c r="G2" s="2"/>
      <c r="H2" s="2"/>
      <c r="I2" s="2"/>
      <c r="J2" s="2"/>
    </row>
    <row r="3" spans="1:10" s="1" customFormat="1" ht="12.75" x14ac:dyDescent="0.2">
      <c r="A3" s="1" t="s">
        <v>1</v>
      </c>
      <c r="B3" s="343" t="str">
        <f>'[8]F 1 _ Echant et Séchage'!D6</f>
        <v>917 QCA 75</v>
      </c>
      <c r="C3" s="343"/>
      <c r="D3" s="343"/>
      <c r="E3" s="343"/>
      <c r="F3" s="343"/>
      <c r="G3" s="3"/>
      <c r="H3" s="3"/>
      <c r="I3" s="3"/>
      <c r="J3" s="3"/>
    </row>
    <row r="4" spans="1:10" s="1" customFormat="1" ht="12.75" x14ac:dyDescent="0.2">
      <c r="A4" s="1" t="s">
        <v>2</v>
      </c>
      <c r="B4" s="250"/>
      <c r="C4" s="250" t="str">
        <f>'[8]F 1 _ Echant et Séchage'!D8</f>
        <v>Saint Ouen</v>
      </c>
      <c r="D4" s="250"/>
      <c r="E4" s="250"/>
      <c r="F4" s="250"/>
      <c r="G4" s="3"/>
      <c r="H4" s="3"/>
      <c r="I4" s="3"/>
      <c r="J4" s="3"/>
    </row>
    <row r="5" spans="1:10" s="1" customFormat="1" ht="12.75" x14ac:dyDescent="0.2">
      <c r="A5" s="1" t="s">
        <v>3</v>
      </c>
      <c r="B5" s="250"/>
      <c r="C5" s="250" t="str">
        <f>'[8]F 1 _ Echant et Séchage'!E15</f>
        <v>humide, nuageux</v>
      </c>
      <c r="D5" s="250"/>
      <c r="E5" s="250"/>
      <c r="F5" s="250"/>
      <c r="G5" s="3"/>
      <c r="H5" s="3"/>
      <c r="I5" s="3"/>
      <c r="J5" s="3"/>
    </row>
    <row r="6" spans="1:10" s="1" customFormat="1" ht="12.75" customHeight="1" x14ac:dyDescent="0.2"/>
    <row r="7" spans="1:10" s="1" customFormat="1" ht="18.75" customHeight="1" x14ac:dyDescent="0.2">
      <c r="A7" s="338" t="s">
        <v>4</v>
      </c>
      <c r="B7" s="338"/>
      <c r="C7" s="338"/>
      <c r="D7" s="338"/>
      <c r="E7" s="338"/>
      <c r="F7" s="338"/>
      <c r="G7" s="338"/>
      <c r="H7" s="338"/>
      <c r="I7" s="338"/>
      <c r="J7" s="338"/>
    </row>
    <row r="8" spans="1:10" s="1" customFormat="1" ht="12.75" x14ac:dyDescent="0.2">
      <c r="I8" s="4"/>
    </row>
    <row r="9" spans="1:10" s="1" customFormat="1" ht="12.75" x14ac:dyDescent="0.2">
      <c r="A9" s="1" t="s">
        <v>5</v>
      </c>
      <c r="B9" s="5">
        <f>'[8]F 1 _ Echant et Séchage'!B12</f>
        <v>42264</v>
      </c>
      <c r="D9" s="337" t="s">
        <v>6</v>
      </c>
      <c r="E9" s="337"/>
      <c r="F9" s="337"/>
      <c r="G9" s="6">
        <f>'[8]F 1 _ Echant et Séchage'!G19</f>
        <v>127</v>
      </c>
      <c r="H9" s="6"/>
      <c r="I9" s="7"/>
      <c r="J9" s="1" t="s">
        <v>7</v>
      </c>
    </row>
    <row r="10" spans="1:10" s="1" customFormat="1" ht="12.75" x14ac:dyDescent="0.2">
      <c r="A10" s="1" t="s">
        <v>8</v>
      </c>
      <c r="B10" s="8" t="str">
        <f>'[8]F 1 _ Echant et Séchage'!E12</f>
        <v>8H15</v>
      </c>
      <c r="D10" s="337" t="s">
        <v>9</v>
      </c>
      <c r="E10" s="337"/>
      <c r="F10" s="337"/>
      <c r="G10" s="250">
        <f>'[8]F 1 _ Echant et Séchage'!H26</f>
        <v>0.6</v>
      </c>
      <c r="H10" s="250"/>
      <c r="I10" s="9"/>
      <c r="J10" s="1" t="s">
        <v>10</v>
      </c>
    </row>
    <row r="11" spans="1:10" s="1" customFormat="1" ht="12.75" x14ac:dyDescent="0.2">
      <c r="B11" s="337"/>
      <c r="C11" s="337"/>
      <c r="D11" s="337" t="s">
        <v>11</v>
      </c>
      <c r="E11" s="337"/>
      <c r="F11" s="337"/>
      <c r="G11" s="10">
        <f>G9/1000/G10</f>
        <v>0.21166666666666667</v>
      </c>
      <c r="H11" s="10"/>
      <c r="I11" s="3"/>
      <c r="J11" s="3" t="s">
        <v>12</v>
      </c>
    </row>
    <row r="12" spans="1:10" s="1" customFormat="1" ht="12.75" x14ac:dyDescent="0.2">
      <c r="B12" s="7"/>
      <c r="D12" s="337" t="s">
        <v>13</v>
      </c>
      <c r="E12" s="337"/>
      <c r="F12" s="337"/>
      <c r="G12" s="236">
        <f>'[8]F 1 _ Echant et Séchage'!D51</f>
        <v>0.30829921259842541</v>
      </c>
      <c r="H12" s="11"/>
      <c r="I12" s="11"/>
    </row>
    <row r="13" spans="1:10" s="1" customFormat="1" ht="12.75" x14ac:dyDescent="0.2">
      <c r="B13" s="12"/>
      <c r="G13" s="234"/>
      <c r="H13" s="234"/>
      <c r="I13" s="234"/>
    </row>
    <row r="14" spans="1:10" s="1" customFormat="1" ht="18.75" customHeight="1" x14ac:dyDescent="0.2">
      <c r="A14" s="338" t="s">
        <v>14</v>
      </c>
      <c r="B14" s="338"/>
      <c r="C14" s="338"/>
      <c r="D14" s="338"/>
      <c r="E14" s="338"/>
      <c r="F14" s="338"/>
      <c r="G14" s="338"/>
      <c r="H14" s="338"/>
      <c r="I14" s="338"/>
      <c r="J14" s="338"/>
    </row>
    <row r="15" spans="1:10" s="1" customFormat="1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1" customFormat="1" ht="27.75" customHeight="1" thickBot="1" x14ac:dyDescent="0.25">
      <c r="C16" s="14" t="s">
        <v>15</v>
      </c>
      <c r="D16" s="15"/>
      <c r="E16" s="15"/>
      <c r="F16" s="15"/>
      <c r="G16" s="339" t="s">
        <v>16</v>
      </c>
      <c r="H16" s="341" t="s">
        <v>17</v>
      </c>
      <c r="I16" s="339" t="s">
        <v>18</v>
      </c>
      <c r="J16" s="341" t="s">
        <v>19</v>
      </c>
    </row>
    <row r="17" spans="1:10" s="1" customFormat="1" ht="29.25" customHeight="1" thickBot="1" x14ac:dyDescent="0.25">
      <c r="A17" s="138" t="s">
        <v>20</v>
      </c>
      <c r="B17" s="139" t="s">
        <v>21</v>
      </c>
      <c r="C17" s="16" t="s">
        <v>22</v>
      </c>
      <c r="D17" s="16" t="s">
        <v>23</v>
      </c>
      <c r="E17" s="16" t="s">
        <v>24</v>
      </c>
      <c r="F17" s="17" t="s">
        <v>25</v>
      </c>
      <c r="G17" s="340"/>
      <c r="H17" s="342"/>
      <c r="I17" s="340"/>
      <c r="J17" s="342"/>
    </row>
    <row r="18" spans="1:10" s="1" customFormat="1" ht="15" customHeight="1" x14ac:dyDescent="0.2">
      <c r="A18" s="349" t="s">
        <v>26</v>
      </c>
      <c r="B18" s="18" t="s">
        <v>119</v>
      </c>
      <c r="C18" s="19">
        <f>'[8]F 4 TRI _ Granulo'!K5</f>
        <v>2.6304705882352946</v>
      </c>
      <c r="D18" s="20">
        <f>'[8]F 4 TRI _ Granulo'!H5</f>
        <v>1.0000000000000009E-2</v>
      </c>
      <c r="E18" s="20">
        <f>'[8]F 4 TRI _ Granulo'!E5</f>
        <v>0</v>
      </c>
      <c r="F18" s="20">
        <f>SUM(C18:E18)</f>
        <v>2.6404705882352948</v>
      </c>
      <c r="G18" s="21">
        <f t="shared" ref="G18:G64" si="0">F18/$F$64</f>
        <v>2.9476388288769844E-2</v>
      </c>
      <c r="H18" s="21">
        <f>G18*J18/I18</f>
        <v>6.6893741834223239E-2</v>
      </c>
      <c r="I18" s="344">
        <f>G18+G19+G20+G21+G22</f>
        <v>6.7484171084929157E-2</v>
      </c>
      <c r="J18" s="344">
        <f>'[8]Calcul sous cat &gt;20'!N8/100</f>
        <v>0.15314863796158115</v>
      </c>
    </row>
    <row r="19" spans="1:10" s="1" customFormat="1" ht="15" customHeight="1" x14ac:dyDescent="0.2">
      <c r="A19" s="350"/>
      <c r="B19" s="18" t="s">
        <v>27</v>
      </c>
      <c r="C19" s="19">
        <f>'[8]F 4 TRI _ Granulo'!K6</f>
        <v>3.1747058823529417</v>
      </c>
      <c r="D19" s="20">
        <f>'[8]F 4 TRI _ Granulo'!H6</f>
        <v>0.21000000000000019</v>
      </c>
      <c r="E19" s="20">
        <f>'[8]F 4 TRI _ Granulo'!E6</f>
        <v>0</v>
      </c>
      <c r="F19" s="20">
        <f>SUM(C19:E19)</f>
        <v>3.3847058823529421</v>
      </c>
      <c r="G19" s="21">
        <f t="shared" si="0"/>
        <v>3.7784516622166656E-2</v>
      </c>
      <c r="H19" s="21">
        <f>G19*J18/I18</f>
        <v>8.5748215673257994E-2</v>
      </c>
      <c r="I19" s="344"/>
      <c r="J19" s="344"/>
    </row>
    <row r="20" spans="1:10" s="1" customFormat="1" ht="15" customHeight="1" x14ac:dyDescent="0.2">
      <c r="A20" s="350"/>
      <c r="B20" s="18" t="s">
        <v>28</v>
      </c>
      <c r="C20" s="19">
        <f>'[8]F 4 TRI _ Granulo'!K7</f>
        <v>0</v>
      </c>
      <c r="D20" s="20">
        <f>'[8]F 4 TRI _ Granulo'!H7</f>
        <v>0</v>
      </c>
      <c r="E20" s="20">
        <f>'[8]F 4 TRI _ Granulo'!E7</f>
        <v>0</v>
      </c>
      <c r="F20" s="20">
        <f t="shared" ref="F20:F62" si="1">SUM(C20:E20)</f>
        <v>0</v>
      </c>
      <c r="G20" s="21">
        <f t="shared" si="0"/>
        <v>0</v>
      </c>
      <c r="H20" s="21">
        <f>G20*J18/I18</f>
        <v>0</v>
      </c>
      <c r="I20" s="344"/>
      <c r="J20" s="344"/>
    </row>
    <row r="21" spans="1:10" s="1" customFormat="1" ht="15" customHeight="1" x14ac:dyDescent="0.2">
      <c r="A21" s="350"/>
      <c r="B21" s="18" t="s">
        <v>29</v>
      </c>
      <c r="C21" s="19">
        <f>'[8]F 4 TRI _ Granulo'!K8</f>
        <v>0</v>
      </c>
      <c r="D21" s="20">
        <f>'[8]F 4 TRI _ Granulo'!H8</f>
        <v>1.0000000000000009E-2</v>
      </c>
      <c r="E21" s="20">
        <f>'[8]F 4 TRI _ Granulo'!E8</f>
        <v>0</v>
      </c>
      <c r="F21" s="20">
        <f t="shared" si="1"/>
        <v>1.0000000000000009E-2</v>
      </c>
      <c r="G21" s="21">
        <f t="shared" si="0"/>
        <v>1.1163308699632144E-4</v>
      </c>
      <c r="H21" s="21">
        <f>G21*J18/I18</f>
        <v>2.5334022704994559E-4</v>
      </c>
      <c r="I21" s="344"/>
      <c r="J21" s="344"/>
    </row>
    <row r="22" spans="1:10" s="1" customFormat="1" ht="15" customHeight="1" x14ac:dyDescent="0.2">
      <c r="A22" s="351"/>
      <c r="B22" s="18" t="s">
        <v>30</v>
      </c>
      <c r="C22" s="19">
        <f>'[8]F 4 TRI _ Granulo'!K9</f>
        <v>0</v>
      </c>
      <c r="D22" s="20">
        <f>'[8]F 4 TRI _ Granulo'!H9</f>
        <v>1.0000000000000009E-2</v>
      </c>
      <c r="E22" s="20">
        <f>'[8]F 4 TRI _ Granulo'!E9</f>
        <v>0</v>
      </c>
      <c r="F22" s="20">
        <f t="shared" si="1"/>
        <v>1.0000000000000009E-2</v>
      </c>
      <c r="G22" s="21">
        <f t="shared" si="0"/>
        <v>1.1163308699632144E-4</v>
      </c>
      <c r="H22" s="21">
        <f>G22*J18/I18</f>
        <v>2.5334022704994559E-4</v>
      </c>
      <c r="I22" s="344"/>
      <c r="J22" s="344"/>
    </row>
    <row r="23" spans="1:10" s="1" customFormat="1" ht="15" customHeight="1" x14ac:dyDescent="0.2">
      <c r="A23" s="345" t="s">
        <v>31</v>
      </c>
      <c r="B23" s="18" t="s">
        <v>32</v>
      </c>
      <c r="C23" s="19">
        <f>'[8]F 4 TRI _ Granulo'!K10</f>
        <v>0.2721176470588238</v>
      </c>
      <c r="D23" s="20">
        <f>'[8]F 4 TRI _ Granulo'!H10</f>
        <v>0.89000000000000012</v>
      </c>
      <c r="E23" s="20">
        <f>'[8]F 4 TRI _ Granulo'!E10</f>
        <v>0</v>
      </c>
      <c r="F23" s="20">
        <f t="shared" si="1"/>
        <v>1.1621176470588239</v>
      </c>
      <c r="G23" s="21">
        <f t="shared" si="0"/>
        <v>1.2973078039407795E-2</v>
      </c>
      <c r="H23" s="21">
        <f>'[8]Calcul sous cat &gt;20'!N32/100</f>
        <v>1.2312450291678732E-2</v>
      </c>
      <c r="I23" s="348">
        <f>G23+G24+G25+G26+G27</f>
        <v>0.14674497618275256</v>
      </c>
      <c r="J23" s="348">
        <f>'[8]Calcul sous cat &gt;20'!N9/100</f>
        <v>0.1364709081849117</v>
      </c>
    </row>
    <row r="24" spans="1:10" s="1" customFormat="1" ht="15" customHeight="1" x14ac:dyDescent="0.2">
      <c r="A24" s="346"/>
      <c r="B24" s="18" t="s">
        <v>33</v>
      </c>
      <c r="C24" s="19">
        <f>'[8]F 4 TRI _ Granulo'!K11</f>
        <v>0.99776470588235378</v>
      </c>
      <c r="D24" s="20">
        <f>'[8]F 4 TRI _ Granulo'!H11</f>
        <v>4.4499999999999993</v>
      </c>
      <c r="E24" s="20">
        <f>'[8]F 4 TRI _ Granulo'!E11</f>
        <v>0</v>
      </c>
      <c r="F24" s="20">
        <f t="shared" si="1"/>
        <v>5.4477647058823528</v>
      </c>
      <c r="G24" s="21">
        <f t="shared" si="0"/>
        <v>6.0815079134725364E-2</v>
      </c>
      <c r="H24" s="21">
        <f>'[8]Calcul sous cat &gt;20'!N33/100</f>
        <v>5.5829532806900263E-2</v>
      </c>
      <c r="I24" s="348"/>
      <c r="J24" s="348"/>
    </row>
    <row r="25" spans="1:10" s="1" customFormat="1" ht="15" customHeight="1" x14ac:dyDescent="0.2">
      <c r="A25" s="346"/>
      <c r="B25" s="18" t="s">
        <v>34</v>
      </c>
      <c r="C25" s="19">
        <f>'[8]F 4 TRI _ Granulo'!K12</f>
        <v>0</v>
      </c>
      <c r="D25" s="20">
        <f>'[8]F 4 TRI _ Granulo'!H12</f>
        <v>0.5900000000000003</v>
      </c>
      <c r="E25" s="20">
        <f>'[8]F 4 TRI _ Granulo'!E12</f>
        <v>0</v>
      </c>
      <c r="F25" s="20">
        <f t="shared" si="1"/>
        <v>0.5900000000000003</v>
      </c>
      <c r="G25" s="21">
        <f t="shared" si="0"/>
        <v>6.5863521327829628E-3</v>
      </c>
      <c r="H25" s="21">
        <f>'[8]Calcul sous cat &gt;20'!N34/100</f>
        <v>6.0464109840324158E-3</v>
      </c>
      <c r="I25" s="348"/>
      <c r="J25" s="348"/>
    </row>
    <row r="26" spans="1:10" s="1" customFormat="1" ht="15" customHeight="1" x14ac:dyDescent="0.2">
      <c r="A26" s="346"/>
      <c r="B26" s="18" t="s">
        <v>35</v>
      </c>
      <c r="C26" s="19">
        <f>'[8]F 4 TRI _ Granulo'!K13</f>
        <v>1.5420000000000014</v>
      </c>
      <c r="D26" s="20">
        <f>'[8]F 4 TRI _ Granulo'!H13</f>
        <v>1.0100000000000002</v>
      </c>
      <c r="E26" s="20">
        <f>'[8]F 4 TRI _ Granulo'!E13</f>
        <v>0</v>
      </c>
      <c r="F26" s="20">
        <f t="shared" si="1"/>
        <v>2.5520000000000014</v>
      </c>
      <c r="G26" s="21">
        <f t="shared" si="0"/>
        <v>2.8488763801461221E-2</v>
      </c>
      <c r="H26" s="21">
        <f>'[8]Calcul sous cat &gt;20'!N35/100</f>
        <v>2.6414688357237582E-2</v>
      </c>
      <c r="I26" s="348"/>
      <c r="J26" s="348"/>
    </row>
    <row r="27" spans="1:10" s="1" customFormat="1" ht="15" customHeight="1" x14ac:dyDescent="0.2">
      <c r="A27" s="347"/>
      <c r="B27" s="18" t="s">
        <v>36</v>
      </c>
      <c r="C27" s="19">
        <f>'[8]F 4 TRI _ Granulo'!K14</f>
        <v>1.723411764705884</v>
      </c>
      <c r="D27" s="20">
        <f>'[8]F 4 TRI _ Granulo'!H14</f>
        <v>1.67</v>
      </c>
      <c r="E27" s="20">
        <f>'[8]F 4 TRI _ Granulo'!E14</f>
        <v>0</v>
      </c>
      <c r="F27" s="20">
        <f t="shared" si="1"/>
        <v>3.3934117647058839</v>
      </c>
      <c r="G27" s="21">
        <f t="shared" si="0"/>
        <v>3.7881703074375224E-2</v>
      </c>
      <c r="H27" s="21">
        <f>'[8]Calcul sous cat &gt;20'!N36/100</f>
        <v>3.5867825745062698E-2</v>
      </c>
      <c r="I27" s="348"/>
      <c r="J27" s="348"/>
    </row>
    <row r="28" spans="1:10" s="1" customFormat="1" ht="15" customHeight="1" x14ac:dyDescent="0.2">
      <c r="A28" s="345" t="s">
        <v>37</v>
      </c>
      <c r="B28" s="18" t="s">
        <v>38</v>
      </c>
      <c r="C28" s="19">
        <f>'[8]F 4 TRI _ Granulo'!K15</f>
        <v>2.4490588235294117</v>
      </c>
      <c r="D28" s="20">
        <f>'[8]F 4 TRI _ Granulo'!H15</f>
        <v>0.87000000000000011</v>
      </c>
      <c r="E28" s="20">
        <f>'[8]F 4 TRI _ Granulo'!E15</f>
        <v>0</v>
      </c>
      <c r="F28" s="20">
        <f t="shared" si="1"/>
        <v>3.3190588235294118</v>
      </c>
      <c r="G28" s="21">
        <f t="shared" si="0"/>
        <v>3.7051678239296677E-2</v>
      </c>
      <c r="H28" s="21">
        <f>'[8]Calcul sous cat &gt;20'!N37/100</f>
        <v>3.434924986052023E-2</v>
      </c>
      <c r="I28" s="348">
        <f>G28+G29+G30</f>
        <v>9.9006728191819798E-2</v>
      </c>
      <c r="J28" s="348">
        <f>'[8]Calcul sous cat &gt;20'!N10/100</f>
        <v>9.2085187450113057E-2</v>
      </c>
    </row>
    <row r="29" spans="1:10" s="1" customFormat="1" ht="15" customHeight="1" x14ac:dyDescent="0.2">
      <c r="A29" s="346"/>
      <c r="B29" s="18" t="s">
        <v>39</v>
      </c>
      <c r="C29" s="19">
        <f>'[8]F 4 TRI _ Granulo'!K16</f>
        <v>9.0705882352941261E-2</v>
      </c>
      <c r="D29" s="20">
        <f>'[8]F 4 TRI _ Granulo'!H16</f>
        <v>1.0100000000000002</v>
      </c>
      <c r="E29" s="20">
        <f>'[8]F 4 TRI _ Granulo'!E16</f>
        <v>3.2200000000000006</v>
      </c>
      <c r="F29" s="20">
        <f t="shared" si="1"/>
        <v>4.3207058823529421</v>
      </c>
      <c r="G29" s="21">
        <f t="shared" si="0"/>
        <v>4.8233373565022337E-2</v>
      </c>
      <c r="H29" s="21">
        <f>'[8]Calcul sous cat &gt;20'!N38/100</f>
        <v>4.4745323291906072E-2</v>
      </c>
      <c r="I29" s="348"/>
      <c r="J29" s="348"/>
    </row>
    <row r="30" spans="1:10" s="1" customFormat="1" ht="15" customHeight="1" x14ac:dyDescent="0.2">
      <c r="A30" s="347"/>
      <c r="B30" s="18" t="s">
        <v>40</v>
      </c>
      <c r="C30" s="19">
        <f>'[8]F 4 TRI _ Granulo'!K17</f>
        <v>1.1791764705882364</v>
      </c>
      <c r="D30" s="20">
        <f>'[8]F 4 TRI _ Granulo'!H17</f>
        <v>5.0000000000000044E-2</v>
      </c>
      <c r="E30" s="20">
        <f>'[8]F 4 TRI _ Granulo'!E17</f>
        <v>0</v>
      </c>
      <c r="F30" s="20">
        <f t="shared" si="1"/>
        <v>1.2291764705882364</v>
      </c>
      <c r="G30" s="21">
        <f t="shared" si="0"/>
        <v>1.3721676387500782E-2</v>
      </c>
      <c r="H30" s="21">
        <f>'[8]Calcul sous cat &gt;20'!N39/100</f>
        <v>1.2990614297686751E-2</v>
      </c>
      <c r="I30" s="348"/>
      <c r="J30" s="348"/>
    </row>
    <row r="31" spans="1:10" s="1" customFormat="1" ht="15" customHeight="1" x14ac:dyDescent="0.2">
      <c r="A31" s="352" t="s">
        <v>41</v>
      </c>
      <c r="B31" s="18" t="s">
        <v>42</v>
      </c>
      <c r="C31" s="19">
        <f>'[8]F 4 TRI _ Granulo'!K18</f>
        <v>0</v>
      </c>
      <c r="D31" s="20">
        <f>'[8]F 4 TRI _ Granulo'!H18</f>
        <v>7.0000000000000062E-2</v>
      </c>
      <c r="E31" s="20">
        <f>'[8]F 4 TRI _ Granulo'!E18</f>
        <v>0</v>
      </c>
      <c r="F31" s="20">
        <f t="shared" si="1"/>
        <v>7.0000000000000062E-2</v>
      </c>
      <c r="G31" s="21">
        <f t="shared" si="0"/>
        <v>7.8143160897425012E-4</v>
      </c>
      <c r="H31" s="241">
        <f>G31*J31/I31</f>
        <v>9.1488939150222712E-4</v>
      </c>
      <c r="I31" s="355">
        <f>G31+G32+G33+G34</f>
        <v>7.7420829158037045E-3</v>
      </c>
      <c r="J31" s="355">
        <f>'[8]Calcul sous cat &gt;20'!N11/100</f>
        <v>9.0643243074044182E-3</v>
      </c>
    </row>
    <row r="32" spans="1:10" s="1" customFormat="1" ht="15" customHeight="1" x14ac:dyDescent="0.2">
      <c r="A32" s="353"/>
      <c r="B32" s="18" t="s">
        <v>43</v>
      </c>
      <c r="C32" s="19">
        <f>'[8]F 4 TRI _ Granulo'!K19</f>
        <v>0.45352941176470629</v>
      </c>
      <c r="D32" s="20">
        <f>'[8]F 4 TRI _ Granulo'!H19</f>
        <v>0.17000000000000015</v>
      </c>
      <c r="E32" s="20">
        <f>'[8]F 4 TRI _ Granulo'!E19</f>
        <v>0</v>
      </c>
      <c r="F32" s="20">
        <f t="shared" si="1"/>
        <v>0.62352941176470644</v>
      </c>
      <c r="G32" s="21">
        <f t="shared" si="0"/>
        <v>6.9606513068294542E-3</v>
      </c>
      <c r="H32" s="241">
        <f>G32*J31/I31</f>
        <v>8.1494349159021914E-3</v>
      </c>
      <c r="I32" s="356"/>
      <c r="J32" s="356"/>
    </row>
    <row r="33" spans="1:10" s="1" customFormat="1" ht="15" customHeight="1" x14ac:dyDescent="0.2">
      <c r="A33" s="353"/>
      <c r="B33" s="18" t="s">
        <v>44</v>
      </c>
      <c r="C33" s="19">
        <f>'[8]F 4 TRI _ Granulo'!K20</f>
        <v>0</v>
      </c>
      <c r="D33" s="20">
        <f>'[8]F 4 TRI _ Granulo'!H20</f>
        <v>0</v>
      </c>
      <c r="E33" s="20">
        <f>'[8]F 4 TRI _ Granulo'!E20</f>
        <v>0</v>
      </c>
      <c r="F33" s="20">
        <f t="shared" si="1"/>
        <v>0</v>
      </c>
      <c r="G33" s="21">
        <f t="shared" si="0"/>
        <v>0</v>
      </c>
      <c r="H33" s="241">
        <f>G33*J31/I31</f>
        <v>0</v>
      </c>
      <c r="I33" s="356"/>
      <c r="J33" s="356"/>
    </row>
    <row r="34" spans="1:10" s="1" customFormat="1" ht="15" customHeight="1" x14ac:dyDescent="0.2">
      <c r="A34" s="354"/>
      <c r="B34" s="18" t="s">
        <v>120</v>
      </c>
      <c r="C34" s="19">
        <f>'[8]F 4 TRI _ Granulo'!K21</f>
        <v>0</v>
      </c>
      <c r="D34" s="20">
        <f>'[8]F 4 TRI _ Granulo'!H21</f>
        <v>0</v>
      </c>
      <c r="E34" s="20">
        <f>'[8]F 4 TRI _ Granulo'!E21</f>
        <v>0</v>
      </c>
      <c r="F34" s="20">
        <f t="shared" si="1"/>
        <v>0</v>
      </c>
      <c r="G34" s="21">
        <f t="shared" si="0"/>
        <v>0</v>
      </c>
      <c r="H34" s="241">
        <f>G34*J31/I31</f>
        <v>0</v>
      </c>
      <c r="I34" s="357"/>
      <c r="J34" s="357"/>
    </row>
    <row r="35" spans="1:10" s="1" customFormat="1" ht="15" customHeight="1" x14ac:dyDescent="0.2">
      <c r="A35" s="251" t="s">
        <v>45</v>
      </c>
      <c r="B35" s="18" t="s">
        <v>46</v>
      </c>
      <c r="C35" s="19">
        <f>'[8]F 4 TRI _ Granulo'!K22</f>
        <v>0.63494117647058879</v>
      </c>
      <c r="D35" s="20">
        <f>'[8]F 4 TRI _ Granulo'!H22</f>
        <v>7.0000000000000062E-2</v>
      </c>
      <c r="E35" s="20">
        <f>'[8]F 4 TRI _ Granulo'!E22</f>
        <v>2.2999999999999998</v>
      </c>
      <c r="F35" s="20">
        <f t="shared" si="1"/>
        <v>3.0049411764705889</v>
      </c>
      <c r="G35" s="21">
        <f t="shared" si="0"/>
        <v>3.3545085977176946E-2</v>
      </c>
      <c r="H35" s="21">
        <f>'[8]Calcul sous cat &gt;20'!N43/100</f>
        <v>3.1176395978260558E-2</v>
      </c>
      <c r="I35" s="252">
        <f>G35</f>
        <v>3.3545085977176946E-2</v>
      </c>
      <c r="J35" s="252">
        <f>'[8]Calcul sous cat &gt;20'!N12/100</f>
        <v>3.1176395978260558E-2</v>
      </c>
    </row>
    <row r="36" spans="1:10" s="1" customFormat="1" ht="15" customHeight="1" x14ac:dyDescent="0.2">
      <c r="A36" s="345" t="s">
        <v>47</v>
      </c>
      <c r="B36" s="18" t="s">
        <v>48</v>
      </c>
      <c r="C36" s="19">
        <f>'[8]F 4 TRI _ Granulo'!K23</f>
        <v>4.2631764705882373</v>
      </c>
      <c r="D36" s="20">
        <f>'[8]F 4 TRI _ Granulo'!H23</f>
        <v>0.1100000000000001</v>
      </c>
      <c r="E36" s="20">
        <f>'[8]F 4 TRI _ Granulo'!E23</f>
        <v>0</v>
      </c>
      <c r="F36" s="20">
        <f t="shared" si="1"/>
        <v>4.3731764705882377</v>
      </c>
      <c r="G36" s="21">
        <f t="shared" si="0"/>
        <v>4.8819118939144222E-2</v>
      </c>
      <c r="H36" s="21">
        <f>'[8]Calcul sous cat &gt;20'!N44/100</f>
        <v>4.6904006786279338E-2</v>
      </c>
      <c r="I36" s="348">
        <f>G36+G37</f>
        <v>0.10821054788205772</v>
      </c>
      <c r="J36" s="348">
        <f>'[8]Calcul sous cat &gt;20'!N13/100</f>
        <v>0.10333982193910934</v>
      </c>
    </row>
    <row r="37" spans="1:10" s="1" customFormat="1" ht="15" customHeight="1" x14ac:dyDescent="0.2">
      <c r="A37" s="347"/>
      <c r="B37" s="18" t="s">
        <v>49</v>
      </c>
      <c r="C37" s="19">
        <f>'[8]F 4 TRI _ Granulo'!K24</f>
        <v>5.1702352941176501</v>
      </c>
      <c r="D37" s="20">
        <f>'[8]F 4 TRI _ Granulo'!H24</f>
        <v>0.15000000000000013</v>
      </c>
      <c r="E37" s="20">
        <f>'[8]F 4 TRI _ Granulo'!E24</f>
        <v>0</v>
      </c>
      <c r="F37" s="20">
        <f t="shared" si="1"/>
        <v>5.3202352941176505</v>
      </c>
      <c r="G37" s="21">
        <f t="shared" si="0"/>
        <v>5.9391428942913493E-2</v>
      </c>
      <c r="H37" s="21">
        <f>'[8]Calcul sous cat &gt;20'!N45/100</f>
        <v>5.6435815152829999E-2</v>
      </c>
      <c r="I37" s="348"/>
      <c r="J37" s="348"/>
    </row>
    <row r="38" spans="1:10" s="1" customFormat="1" ht="15" customHeight="1" x14ac:dyDescent="0.2">
      <c r="A38" s="345" t="s">
        <v>50</v>
      </c>
      <c r="B38" s="18" t="s">
        <v>51</v>
      </c>
      <c r="C38" s="19">
        <f>'[8]F 4 TRI _ Granulo'!K25</f>
        <v>0.99776470588235378</v>
      </c>
      <c r="D38" s="20">
        <f>'[8]F 4 TRI _ Granulo'!H25</f>
        <v>5.75</v>
      </c>
      <c r="E38" s="20">
        <f>'[8]F 4 TRI _ Granulo'!E25</f>
        <v>0</v>
      </c>
      <c r="F38" s="20">
        <f t="shared" si="1"/>
        <v>6.7477647058823536</v>
      </c>
      <c r="G38" s="21">
        <f t="shared" si="0"/>
        <v>7.5327380444247152E-2</v>
      </c>
      <c r="H38" s="21">
        <f>'[8]Calcul sous cat &gt;20'!N46/100</f>
        <v>8.0609040254068343E-2</v>
      </c>
      <c r="I38" s="348">
        <f>G38+G39+G40+G41+G42</f>
        <v>0.18554995055310913</v>
      </c>
      <c r="J38" s="348">
        <f>'[8]Calcul sous cat &gt;20'!N14/100</f>
        <v>0.19455648932103681</v>
      </c>
    </row>
    <row r="39" spans="1:10" s="1" customFormat="1" ht="15" customHeight="1" x14ac:dyDescent="0.2">
      <c r="A39" s="346"/>
      <c r="B39" s="18" t="s">
        <v>52</v>
      </c>
      <c r="C39" s="19">
        <f>'[8]F 4 TRI _ Granulo'!K26</f>
        <v>1.5420000000000014</v>
      </c>
      <c r="D39" s="20">
        <f>'[8]F 4 TRI _ Granulo'!H26</f>
        <v>0.79</v>
      </c>
      <c r="E39" s="20">
        <f>'[8]F 4 TRI _ Granulo'!E26</f>
        <v>0</v>
      </c>
      <c r="F39" s="20">
        <f t="shared" si="1"/>
        <v>2.3320000000000016</v>
      </c>
      <c r="G39" s="21">
        <f t="shared" si="0"/>
        <v>2.6032835887542155E-2</v>
      </c>
      <c r="H39" s="21">
        <f>'[8]Calcul sous cat &gt;20'!N47/100</f>
        <v>2.4904757979417252E-2</v>
      </c>
      <c r="I39" s="348"/>
      <c r="J39" s="348"/>
    </row>
    <row r="40" spans="1:10" s="1" customFormat="1" ht="15" customHeight="1" x14ac:dyDescent="0.2">
      <c r="A40" s="346"/>
      <c r="B40" s="18" t="s">
        <v>53</v>
      </c>
      <c r="C40" s="19">
        <f>'[8]F 4 TRI _ Granulo'!K27</f>
        <v>0.45352941176470629</v>
      </c>
      <c r="D40" s="20">
        <f>'[8]F 4 TRI _ Granulo'!H27</f>
        <v>0.27</v>
      </c>
      <c r="E40" s="20">
        <f>'[8]F 4 TRI _ Granulo'!E27</f>
        <v>0.08</v>
      </c>
      <c r="F40" s="20">
        <f t="shared" si="1"/>
        <v>0.80352941176470627</v>
      </c>
      <c r="G40" s="21">
        <f t="shared" si="0"/>
        <v>8.9700468727632373E-3</v>
      </c>
      <c r="H40" s="21">
        <f>'[8]Calcul sous cat &gt;20'!N48/100</f>
        <v>8.5801993256409623E-3</v>
      </c>
      <c r="I40" s="348"/>
      <c r="J40" s="348"/>
    </row>
    <row r="41" spans="1:10" s="1" customFormat="1" ht="15" customHeight="1" x14ac:dyDescent="0.2">
      <c r="A41" s="346"/>
      <c r="B41" s="18" t="s">
        <v>54</v>
      </c>
      <c r="C41" s="19">
        <f>'[8]F 4 TRI _ Granulo'!K28</f>
        <v>3.1747058823529417</v>
      </c>
      <c r="D41" s="20">
        <f>'[8]F 4 TRI _ Granulo'!H28</f>
        <v>0.57000000000000028</v>
      </c>
      <c r="E41" s="20">
        <f>'[8]F 4 TRI _ Granulo'!E28</f>
        <v>0.26</v>
      </c>
      <c r="F41" s="20">
        <f t="shared" si="1"/>
        <v>4.0047058823529422</v>
      </c>
      <c r="G41" s="21">
        <f t="shared" si="0"/>
        <v>4.4705768015938584E-2</v>
      </c>
      <c r="H41" s="21">
        <f>'[8]Calcul sous cat &gt;20'!N49/100</f>
        <v>4.7820084915017561E-2</v>
      </c>
      <c r="I41" s="348"/>
      <c r="J41" s="348"/>
    </row>
    <row r="42" spans="1:10" s="1" customFormat="1" ht="27" customHeight="1" x14ac:dyDescent="0.2">
      <c r="A42" s="347"/>
      <c r="B42" s="18" t="s">
        <v>55</v>
      </c>
      <c r="C42" s="19">
        <f>'[8]F 4 TRI _ Granulo'!K29</f>
        <v>1.723411764705884</v>
      </c>
      <c r="D42" s="20">
        <f>'[8]F 4 TRI _ Granulo'!H29</f>
        <v>0.85000000000000009</v>
      </c>
      <c r="E42" s="20">
        <f>'[8]F 4 TRI _ Granulo'!E29</f>
        <v>0.16</v>
      </c>
      <c r="F42" s="20">
        <f t="shared" si="1"/>
        <v>2.7334117647058842</v>
      </c>
      <c r="G42" s="21">
        <f t="shared" si="0"/>
        <v>3.051391933261802E-2</v>
      </c>
      <c r="H42" s="21">
        <f>'[8]Calcul sous cat &gt;20'!N50/100</f>
        <v>3.2642406846892694E-2</v>
      </c>
      <c r="I42" s="348"/>
      <c r="J42" s="348"/>
    </row>
    <row r="43" spans="1:10" s="1" customFormat="1" ht="26.25" customHeight="1" x14ac:dyDescent="0.2">
      <c r="A43" s="251" t="s">
        <v>56</v>
      </c>
      <c r="B43" s="18" t="s">
        <v>56</v>
      </c>
      <c r="C43" s="19">
        <f>'[8]F 4 TRI _ Granulo'!K30</f>
        <v>9.0705882352941261E-2</v>
      </c>
      <c r="D43" s="20">
        <f>'[8]F 4 TRI _ Granulo'!H30</f>
        <v>1.4900000000000002</v>
      </c>
      <c r="E43" s="20">
        <f>'[8]F 4 TRI _ Granulo'!E30</f>
        <v>2.2400000000000002</v>
      </c>
      <c r="F43" s="20">
        <f t="shared" si="1"/>
        <v>3.8207058823529416</v>
      </c>
      <c r="G43" s="21">
        <f t="shared" si="0"/>
        <v>4.265171921520626E-2</v>
      </c>
      <c r="H43" s="21">
        <f>J43</f>
        <v>4.0480184319202729E-2</v>
      </c>
      <c r="I43" s="252">
        <f>G43</f>
        <v>4.265171921520626E-2</v>
      </c>
      <c r="J43" s="252">
        <f>'[8]Calcul sous cat &gt;20'!N15/100</f>
        <v>4.0480184319202729E-2</v>
      </c>
    </row>
    <row r="44" spans="1:10" s="1" customFormat="1" ht="15" customHeight="1" x14ac:dyDescent="0.2">
      <c r="A44" s="345" t="s">
        <v>57</v>
      </c>
      <c r="B44" s="18" t="s">
        <v>58</v>
      </c>
      <c r="C44" s="19">
        <f>'[8]F 4 TRI _ Granulo'!K31</f>
        <v>3.5375294117647074</v>
      </c>
      <c r="D44" s="20">
        <f>'[8]F 4 TRI _ Granulo'!H31</f>
        <v>2.0500000000000003</v>
      </c>
      <c r="E44" s="20">
        <f>'[8]F 4 TRI _ Granulo'!E31</f>
        <v>0</v>
      </c>
      <c r="F44" s="20">
        <f t="shared" si="1"/>
        <v>5.5875294117647076</v>
      </c>
      <c r="G44" s="21">
        <f t="shared" si="0"/>
        <v>6.2375315691803379E-2</v>
      </c>
      <c r="H44" s="21">
        <f>G44*J44/I44</f>
        <v>5.7911118368139211E-2</v>
      </c>
      <c r="I44" s="348">
        <f>G44+G45</f>
        <v>6.2375315691803379E-2</v>
      </c>
      <c r="J44" s="348">
        <f>'[8]Calcul sous cat &gt;20'!N16/100</f>
        <v>5.7911118368139211E-2</v>
      </c>
    </row>
    <row r="45" spans="1:10" s="1" customFormat="1" ht="15" customHeight="1" x14ac:dyDescent="0.2">
      <c r="A45" s="347"/>
      <c r="B45" s="18" t="s">
        <v>59</v>
      </c>
      <c r="C45" s="19">
        <f>'[8]F 4 TRI _ Granulo'!K32</f>
        <v>0</v>
      </c>
      <c r="D45" s="20">
        <f>'[8]F 4 TRI _ Granulo'!H32</f>
        <v>0</v>
      </c>
      <c r="E45" s="20">
        <f>'[8]F 4 TRI _ Granulo'!E32</f>
        <v>0</v>
      </c>
      <c r="F45" s="20">
        <f t="shared" si="1"/>
        <v>0</v>
      </c>
      <c r="G45" s="21">
        <f t="shared" si="0"/>
        <v>0</v>
      </c>
      <c r="H45" s="21">
        <f>G45*J44/I44</f>
        <v>0</v>
      </c>
      <c r="I45" s="348"/>
      <c r="J45" s="348"/>
    </row>
    <row r="46" spans="1:10" s="1" customFormat="1" ht="15" customHeight="1" x14ac:dyDescent="0.2">
      <c r="A46" s="345" t="s">
        <v>60</v>
      </c>
      <c r="B46" s="18" t="s">
        <v>61</v>
      </c>
      <c r="C46" s="19">
        <f>'[8]F 4 TRI _ Granulo'!K33</f>
        <v>1.360588235294119</v>
      </c>
      <c r="D46" s="20">
        <f>'[8]F 4 TRI _ Granulo'!H33</f>
        <v>0.31000000000000005</v>
      </c>
      <c r="E46" s="20">
        <f>'[8]F 4 TRI _ Granulo'!E33</f>
        <v>0</v>
      </c>
      <c r="F46" s="20">
        <f t="shared" si="1"/>
        <v>1.670588235294119</v>
      </c>
      <c r="G46" s="21">
        <f t="shared" si="0"/>
        <v>1.8649292180561935E-2</v>
      </c>
      <c r="H46" s="21">
        <f t="shared" ref="H46:H51" si="2">G46*$J$46/$I$46</f>
        <v>1.7876806254658543E-2</v>
      </c>
      <c r="I46" s="348">
        <f>G46+G47+G50+G51+G48+G49</f>
        <v>2.7523465931551864E-2</v>
      </c>
      <c r="J46" s="348">
        <f>'[8]Calcul sous cat &gt;20'!N17/100</f>
        <v>2.6383396385836554E-2</v>
      </c>
    </row>
    <row r="47" spans="1:10" s="1" customFormat="1" ht="15" customHeight="1" x14ac:dyDescent="0.2">
      <c r="A47" s="346"/>
      <c r="B47" s="18" t="s">
        <v>62</v>
      </c>
      <c r="C47" s="19">
        <f>'[8]F 4 TRI _ Granulo'!K34</f>
        <v>0.2721176470588238</v>
      </c>
      <c r="D47" s="20">
        <f>'[8]F 4 TRI _ Granulo'!H34</f>
        <v>1.0000000000000009E-2</v>
      </c>
      <c r="E47" s="20">
        <f>'[8]F 4 TRI _ Granulo'!E34</f>
        <v>0</v>
      </c>
      <c r="F47" s="20">
        <f t="shared" si="1"/>
        <v>0.28211764705882381</v>
      </c>
      <c r="G47" s="21">
        <f t="shared" si="0"/>
        <v>3.1493663837315155E-3</v>
      </c>
      <c r="H47" s="21">
        <f t="shared" si="2"/>
        <v>3.0189141830050132E-3</v>
      </c>
      <c r="I47" s="348"/>
      <c r="J47" s="348"/>
    </row>
    <row r="48" spans="1:10" s="1" customFormat="1" ht="15" customHeight="1" x14ac:dyDescent="0.2">
      <c r="A48" s="346"/>
      <c r="B48" s="18" t="s">
        <v>63</v>
      </c>
      <c r="C48" s="19">
        <f>'[8]F 4 TRI _ Granulo'!K35</f>
        <v>0</v>
      </c>
      <c r="D48" s="20">
        <f>'[8]F 4 TRI _ Granulo'!H35</f>
        <v>0</v>
      </c>
      <c r="E48" s="20">
        <f>'[8]F 4 TRI _ Granulo'!E35</f>
        <v>0</v>
      </c>
      <c r="F48" s="20">
        <f t="shared" si="1"/>
        <v>0</v>
      </c>
      <c r="G48" s="21">
        <f t="shared" si="0"/>
        <v>0</v>
      </c>
      <c r="H48" s="21">
        <f t="shared" si="2"/>
        <v>0</v>
      </c>
      <c r="I48" s="348"/>
      <c r="J48" s="348"/>
    </row>
    <row r="49" spans="1:10" s="1" customFormat="1" ht="15" customHeight="1" x14ac:dyDescent="0.2">
      <c r="A49" s="346"/>
      <c r="B49" s="18" t="s">
        <v>64</v>
      </c>
      <c r="C49" s="19">
        <f>'[8]F 4 TRI _ Granulo'!K36</f>
        <v>0</v>
      </c>
      <c r="D49" s="20">
        <f>'[8]F 4 TRI _ Granulo'!H36</f>
        <v>0</v>
      </c>
      <c r="E49" s="20">
        <f>'[8]F 4 TRI _ Granulo'!E36</f>
        <v>0</v>
      </c>
      <c r="F49" s="20">
        <f t="shared" si="1"/>
        <v>0</v>
      </c>
      <c r="G49" s="21">
        <f t="shared" si="0"/>
        <v>0</v>
      </c>
      <c r="H49" s="21">
        <f t="shared" si="2"/>
        <v>0</v>
      </c>
      <c r="I49" s="348"/>
      <c r="J49" s="348"/>
    </row>
    <row r="50" spans="1:10" s="1" customFormat="1" ht="15" customHeight="1" x14ac:dyDescent="0.2">
      <c r="A50" s="346"/>
      <c r="B50" s="18" t="s">
        <v>65</v>
      </c>
      <c r="C50" s="19">
        <f>'[8]F 4 TRI _ Granulo'!K37</f>
        <v>9.0705882352941261E-2</v>
      </c>
      <c r="D50" s="20">
        <f>'[8]F 4 TRI _ Granulo'!H37</f>
        <v>7.0000000000000062E-2</v>
      </c>
      <c r="E50" s="20">
        <f>'[8]F 4 TRI _ Granulo'!E37</f>
        <v>0</v>
      </c>
      <c r="F50" s="20">
        <f t="shared" si="1"/>
        <v>0.16070588235294131</v>
      </c>
      <c r="G50" s="21">
        <f t="shared" si="0"/>
        <v>1.7940093745526481E-3</v>
      </c>
      <c r="H50" s="21">
        <f t="shared" si="2"/>
        <v>1.7196984044974344E-3</v>
      </c>
      <c r="I50" s="348"/>
      <c r="J50" s="348"/>
    </row>
    <row r="51" spans="1:10" s="1" customFormat="1" ht="15" customHeight="1" x14ac:dyDescent="0.2">
      <c r="A51" s="347"/>
      <c r="B51" s="18" t="s">
        <v>66</v>
      </c>
      <c r="C51" s="19">
        <f>'[8]F 4 TRI _ Granulo'!K38</f>
        <v>0.2721176470588238</v>
      </c>
      <c r="D51" s="20">
        <f>'[8]F 4 TRI _ Granulo'!H38</f>
        <v>0</v>
      </c>
      <c r="E51" s="20">
        <f>'[8]F 4 TRI _ Granulo'!E38</f>
        <v>0.08</v>
      </c>
      <c r="F51" s="20">
        <f t="shared" si="1"/>
        <v>0.35211764705882381</v>
      </c>
      <c r="G51" s="21">
        <f t="shared" si="0"/>
        <v>3.9307979927057654E-3</v>
      </c>
      <c r="H51" s="21">
        <f t="shared" si="2"/>
        <v>3.7679775436755642E-3</v>
      </c>
      <c r="I51" s="348"/>
      <c r="J51" s="348"/>
    </row>
    <row r="52" spans="1:10" s="1" customFormat="1" ht="15" customHeight="1" x14ac:dyDescent="0.2">
      <c r="A52" s="253" t="s">
        <v>67</v>
      </c>
      <c r="B52" s="18" t="s">
        <v>68</v>
      </c>
      <c r="C52" s="19">
        <f>'[8]F 4 TRI _ Granulo'!K39</f>
        <v>3.7189411764705897</v>
      </c>
      <c r="D52" s="20">
        <f>'[8]F 4 TRI _ Granulo'!H39</f>
        <v>0.75</v>
      </c>
      <c r="E52" s="20">
        <f>'[8]F 4 TRI _ Granulo'!E39</f>
        <v>0</v>
      </c>
      <c r="F52" s="20">
        <f t="shared" si="1"/>
        <v>4.4689411764705902</v>
      </c>
      <c r="G52" s="21">
        <f t="shared" si="0"/>
        <v>4.9888169913438404E-2</v>
      </c>
      <c r="H52" s="21">
        <f>J52</f>
        <v>5.2883464426231777E-2</v>
      </c>
      <c r="I52" s="254">
        <f>G52</f>
        <v>4.9888169913438404E-2</v>
      </c>
      <c r="J52" s="254">
        <f>'[8]Calcul sous cat &gt;20'!N18/100</f>
        <v>5.2883464426231777E-2</v>
      </c>
    </row>
    <row r="53" spans="1:10" s="1" customFormat="1" ht="15" customHeight="1" x14ac:dyDescent="0.2">
      <c r="A53" s="345" t="s">
        <v>69</v>
      </c>
      <c r="B53" s="18" t="s">
        <v>121</v>
      </c>
      <c r="C53" s="19">
        <f>'[8]F 4 TRI _ Granulo'!K40</f>
        <v>0</v>
      </c>
      <c r="D53" s="20">
        <f>'[8]F 4 TRI _ Granulo'!H40</f>
        <v>0</v>
      </c>
      <c r="E53" s="20">
        <f>'[8]F 4 TRI _ Granulo'!E40</f>
        <v>0</v>
      </c>
      <c r="F53" s="20">
        <f t="shared" si="1"/>
        <v>0</v>
      </c>
      <c r="G53" s="21">
        <f t="shared" si="0"/>
        <v>0</v>
      </c>
      <c r="H53" s="241">
        <f>G53*J53/I53</f>
        <v>0</v>
      </c>
      <c r="I53" s="348">
        <f>SUM(G53:G62)</f>
        <v>4.2528266154292671E-2</v>
      </c>
      <c r="J53" s="348">
        <f>'[8]Calcul sous cat &gt;20'!N19/100</f>
        <v>4.0317391580352829E-2</v>
      </c>
    </row>
    <row r="54" spans="1:10" s="1" customFormat="1" ht="15" customHeight="1" x14ac:dyDescent="0.2">
      <c r="A54" s="346"/>
      <c r="B54" s="18" t="s">
        <v>70</v>
      </c>
      <c r="C54" s="19">
        <f>'[8]F 4 TRI _ Granulo'!K41</f>
        <v>0</v>
      </c>
      <c r="D54" s="20">
        <f>'[8]F 4 TRI _ Granulo'!H41</f>
        <v>0</v>
      </c>
      <c r="E54" s="20">
        <f>'[8]F 4 TRI _ Granulo'!E41</f>
        <v>0</v>
      </c>
      <c r="F54" s="20">
        <f t="shared" si="1"/>
        <v>0</v>
      </c>
      <c r="G54" s="21">
        <f t="shared" si="0"/>
        <v>0</v>
      </c>
      <c r="H54" s="241">
        <f>G54*J53/I53</f>
        <v>0</v>
      </c>
      <c r="I54" s="348"/>
      <c r="J54" s="348"/>
    </row>
    <row r="55" spans="1:10" s="1" customFormat="1" ht="15" customHeight="1" x14ac:dyDescent="0.2">
      <c r="A55" s="346"/>
      <c r="B55" s="18" t="s">
        <v>71</v>
      </c>
      <c r="C55" s="19">
        <f>'[8]F 4 TRI _ Granulo'!K42</f>
        <v>1.0884705882352932</v>
      </c>
      <c r="D55" s="20">
        <f>'[8]F 4 TRI _ Granulo'!H42</f>
        <v>0</v>
      </c>
      <c r="E55" s="20">
        <f>'[8]F 4 TRI _ Granulo'!E42</f>
        <v>0</v>
      </c>
      <c r="F55" s="20">
        <f>SUM(C55:E55)</f>
        <v>1.0884705882352932</v>
      </c>
      <c r="G55" s="21">
        <f t="shared" si="0"/>
        <v>1.2150933186940755E-2</v>
      </c>
      <c r="H55" s="241">
        <f>G55*J53/I53</f>
        <v>1.1519254737243658E-2</v>
      </c>
      <c r="I55" s="348"/>
      <c r="J55" s="348"/>
    </row>
    <row r="56" spans="1:10" s="1" customFormat="1" ht="15" customHeight="1" x14ac:dyDescent="0.2">
      <c r="A56" s="346"/>
      <c r="B56" s="18" t="s">
        <v>72</v>
      </c>
      <c r="C56" s="19">
        <f>'[8]F 4 TRI _ Granulo'!K43</f>
        <v>0</v>
      </c>
      <c r="D56" s="20">
        <f>'[8]F 4 TRI _ Granulo'!H43</f>
        <v>0</v>
      </c>
      <c r="E56" s="20">
        <f>'[8]F 4 TRI _ Granulo'!E43</f>
        <v>0</v>
      </c>
      <c r="F56" s="20">
        <f t="shared" si="1"/>
        <v>0</v>
      </c>
      <c r="G56" s="21">
        <f>F56/$F$64</f>
        <v>0</v>
      </c>
      <c r="H56" s="241">
        <f>G56*J53/I53</f>
        <v>0</v>
      </c>
      <c r="I56" s="348"/>
      <c r="J56" s="348"/>
    </row>
    <row r="57" spans="1:10" s="1" customFormat="1" ht="17.25" customHeight="1" x14ac:dyDescent="0.2">
      <c r="A57" s="346"/>
      <c r="B57" s="18" t="s">
        <v>122</v>
      </c>
      <c r="C57" s="19">
        <f>'[8]F 4 TRI _ Granulo'!K44</f>
        <v>0</v>
      </c>
      <c r="D57" s="20">
        <f>'[8]F 4 TRI _ Granulo'!H44</f>
        <v>0</v>
      </c>
      <c r="E57" s="20">
        <f>'[8]F 4 TRI _ Granulo'!E44</f>
        <v>0</v>
      </c>
      <c r="F57" s="20">
        <f t="shared" si="1"/>
        <v>0</v>
      </c>
      <c r="G57" s="21">
        <f t="shared" ref="G57:G62" si="3">F57/$F$64</f>
        <v>0</v>
      </c>
      <c r="H57" s="241">
        <f>G57*J53/I53</f>
        <v>0</v>
      </c>
      <c r="I57" s="348"/>
      <c r="J57" s="348"/>
    </row>
    <row r="58" spans="1:10" s="1" customFormat="1" ht="17.25" customHeight="1" x14ac:dyDescent="0.2">
      <c r="A58" s="346"/>
      <c r="B58" s="18" t="s">
        <v>123</v>
      </c>
      <c r="C58" s="19">
        <f>'[8]F 4 TRI _ Granulo'!K45</f>
        <v>0</v>
      </c>
      <c r="D58" s="20">
        <f>'[8]F 4 TRI _ Granulo'!H45</f>
        <v>0</v>
      </c>
      <c r="E58" s="20">
        <f>'[8]F 4 TRI _ Granulo'!E45</f>
        <v>0</v>
      </c>
      <c r="F58" s="20">
        <f t="shared" si="1"/>
        <v>0</v>
      </c>
      <c r="G58" s="21">
        <f t="shared" si="3"/>
        <v>0</v>
      </c>
      <c r="H58" s="241">
        <f>G58*J53/I53</f>
        <v>0</v>
      </c>
      <c r="I58" s="348"/>
      <c r="J58" s="348"/>
    </row>
    <row r="59" spans="1:10" s="1" customFormat="1" ht="25.5" customHeight="1" x14ac:dyDescent="0.2">
      <c r="A59" s="346"/>
      <c r="B59" s="18" t="s">
        <v>124</v>
      </c>
      <c r="C59" s="19">
        <f>'[8]F 4 TRI _ Granulo'!K46</f>
        <v>0</v>
      </c>
      <c r="D59" s="20">
        <f>'[8]F 4 TRI _ Granulo'!H46</f>
        <v>0</v>
      </c>
      <c r="E59" s="20">
        <f>'[8]F 4 TRI _ Granulo'!E46</f>
        <v>0</v>
      </c>
      <c r="F59" s="20">
        <f t="shared" si="1"/>
        <v>0</v>
      </c>
      <c r="G59" s="21">
        <f t="shared" si="3"/>
        <v>0</v>
      </c>
      <c r="H59" s="241">
        <f>G59*J53/I53</f>
        <v>0</v>
      </c>
      <c r="I59" s="348"/>
      <c r="J59" s="348"/>
    </row>
    <row r="60" spans="1:10" ht="25.5" x14ac:dyDescent="0.25">
      <c r="A60" s="346"/>
      <c r="B60" s="18" t="s">
        <v>125</v>
      </c>
      <c r="C60" s="19">
        <f>'[8]F 4 TRI _ Granulo'!K47</f>
        <v>0</v>
      </c>
      <c r="D60" s="20">
        <f>'[8]F 4 TRI _ Granulo'!H47</f>
        <v>0</v>
      </c>
      <c r="E60" s="20">
        <f>'[8]F 4 TRI _ Granulo'!E47</f>
        <v>0</v>
      </c>
      <c r="F60" s="20">
        <f t="shared" si="1"/>
        <v>0</v>
      </c>
      <c r="G60" s="21">
        <f t="shared" si="3"/>
        <v>0</v>
      </c>
      <c r="H60" s="241">
        <f>G60*J53/I53</f>
        <v>0</v>
      </c>
      <c r="I60" s="348"/>
      <c r="J60" s="348"/>
    </row>
    <row r="61" spans="1:10" ht="38.25" x14ac:dyDescent="0.25">
      <c r="A61" s="346"/>
      <c r="B61" s="18" t="s">
        <v>126</v>
      </c>
      <c r="C61" s="19">
        <f>'[8]F 4 TRI _ Granulo'!K48</f>
        <v>2.7211764705882358</v>
      </c>
      <c r="D61" s="20">
        <f>'[8]F 4 TRI _ Granulo'!H48</f>
        <v>0</v>
      </c>
      <c r="E61" s="20">
        <f>'[8]F 4 TRI _ Granulo'!E48</f>
        <v>0</v>
      </c>
      <c r="F61" s="20">
        <f t="shared" si="1"/>
        <v>2.7211764705882358</v>
      </c>
      <c r="G61" s="21">
        <f t="shared" si="3"/>
        <v>3.0377332967351917E-2</v>
      </c>
      <c r="H61" s="241">
        <f>G61*J53/I53</f>
        <v>2.8798136843109171E-2</v>
      </c>
      <c r="I61" s="348"/>
      <c r="J61" s="348"/>
    </row>
    <row r="62" spans="1:10" ht="51" x14ac:dyDescent="0.25">
      <c r="A62" s="358"/>
      <c r="B62" s="18" t="s">
        <v>73</v>
      </c>
      <c r="C62" s="19">
        <f>'[8]F 4 TRI _ Granulo'!K49</f>
        <v>0</v>
      </c>
      <c r="D62" s="20">
        <f>'[8]F 4 TRI _ Granulo'!H49</f>
        <v>0</v>
      </c>
      <c r="E62" s="20">
        <f>'[8]F 4 TRI _ Granulo'!E49</f>
        <v>0</v>
      </c>
      <c r="F62" s="20">
        <f t="shared" si="1"/>
        <v>0</v>
      </c>
      <c r="G62" s="21">
        <f t="shared" si="3"/>
        <v>0</v>
      </c>
      <c r="H62" s="175">
        <f>G62*J53/I53</f>
        <v>0</v>
      </c>
      <c r="I62" s="348"/>
      <c r="J62" s="348"/>
    </row>
    <row r="63" spans="1:10" x14ac:dyDescent="0.25">
      <c r="A63" s="22" t="s">
        <v>74</v>
      </c>
      <c r="B63" s="23">
        <f>'[8]F 3 _ Criblage et Tri'!C27+'[8]F 3 _ Criblage et Tri'!D27</f>
        <v>8.9400000000000013</v>
      </c>
      <c r="C63" s="19">
        <f>'[8]F 4 TRI _ Granulo'!K50</f>
        <v>1.8141176470588252</v>
      </c>
      <c r="D63" s="20">
        <f>'[8]F 4 TRI _ Granulo'!H50</f>
        <v>0.60000000000000009</v>
      </c>
      <c r="E63" s="20">
        <f>'[8]F 4 TRI _ Granulo'!E50</f>
        <v>0</v>
      </c>
      <c r="F63" s="19">
        <f>SUM(B63:E63)</f>
        <v>11.354117647058827</v>
      </c>
      <c r="G63" s="21">
        <f t="shared" si="0"/>
        <v>0.12674952030605854</v>
      </c>
      <c r="H63" s="21">
        <f>J63</f>
        <v>6.2182679777819959E-2</v>
      </c>
      <c r="I63" s="24">
        <f>G63</f>
        <v>0.12674952030605854</v>
      </c>
      <c r="J63" s="24">
        <f>'[8]Calcul sous cat &gt;20'!N20/100</f>
        <v>6.2182679777819959E-2</v>
      </c>
    </row>
    <row r="64" spans="1:10" x14ac:dyDescent="0.25">
      <c r="A64" s="25" t="s">
        <v>25</v>
      </c>
      <c r="B64" s="90">
        <f>B63</f>
        <v>8.9400000000000013</v>
      </c>
      <c r="C64" s="19">
        <f>SUM(C18:C63)</f>
        <v>47.439176470588244</v>
      </c>
      <c r="D64" s="19">
        <f>SUM(D18:D63)</f>
        <v>24.860000000000003</v>
      </c>
      <c r="E64" s="19">
        <f>SUM(E18:E63)</f>
        <v>8.3400000000000016</v>
      </c>
      <c r="F64" s="19">
        <f>SUM(B64:E64)</f>
        <v>89.579176470588251</v>
      </c>
      <c r="G64" s="21">
        <f t="shared" si="0"/>
        <v>1</v>
      </c>
      <c r="H64" s="21">
        <f>SUM(H18:H63)</f>
        <v>1.0000000000000002</v>
      </c>
      <c r="I64" s="24">
        <f>SUM(I18:I63)</f>
        <v>1</v>
      </c>
      <c r="J64" s="24">
        <f>SUM(J18:J63)</f>
        <v>1</v>
      </c>
    </row>
    <row r="65" spans="1:10" ht="51.75" x14ac:dyDescent="0.25">
      <c r="A65" s="26" t="s">
        <v>75</v>
      </c>
      <c r="B65" s="235">
        <f>B64/$F$64</f>
        <v>9.9799979774711292E-2</v>
      </c>
      <c r="C65" s="235">
        <f>C64/$F$64</f>
        <v>0.52957817139750174</v>
      </c>
      <c r="D65" s="235">
        <f>D64/$F$64</f>
        <v>0.27751985427285492</v>
      </c>
      <c r="E65" s="235">
        <f>E64/$F$64</f>
        <v>9.310199455493201E-2</v>
      </c>
      <c r="F65" s="235">
        <f>F64/$F$64</f>
        <v>1</v>
      </c>
      <c r="G65" s="1"/>
      <c r="H65" s="1"/>
      <c r="I65" s="1"/>
      <c r="J65" s="1"/>
    </row>
  </sheetData>
  <mergeCells count="40">
    <mergeCell ref="I53:I62"/>
    <mergeCell ref="J53:J62"/>
    <mergeCell ref="A44:A45"/>
    <mergeCell ref="I44:I45"/>
    <mergeCell ref="J44:J45"/>
    <mergeCell ref="A46:A51"/>
    <mergeCell ref="I46:I51"/>
    <mergeCell ref="J46:J51"/>
    <mergeCell ref="A53:A62"/>
    <mergeCell ref="A36:A37"/>
    <mergeCell ref="I36:I37"/>
    <mergeCell ref="J36:J37"/>
    <mergeCell ref="A38:A42"/>
    <mergeCell ref="I38:I42"/>
    <mergeCell ref="J38:J42"/>
    <mergeCell ref="A28:A30"/>
    <mergeCell ref="I28:I30"/>
    <mergeCell ref="J28:J30"/>
    <mergeCell ref="A31:A34"/>
    <mergeCell ref="I31:I34"/>
    <mergeCell ref="J31:J34"/>
    <mergeCell ref="A18:A22"/>
    <mergeCell ref="I18:I22"/>
    <mergeCell ref="J18:J22"/>
    <mergeCell ref="A23:A27"/>
    <mergeCell ref="I23:I27"/>
    <mergeCell ref="J23:J27"/>
    <mergeCell ref="D12:F12"/>
    <mergeCell ref="A14:J14"/>
    <mergeCell ref="G16:G17"/>
    <mergeCell ref="H16:H17"/>
    <mergeCell ref="I16:I17"/>
    <mergeCell ref="J16:J17"/>
    <mergeCell ref="B2:F2"/>
    <mergeCell ref="B11:C11"/>
    <mergeCell ref="D11:F11"/>
    <mergeCell ref="B3:F3"/>
    <mergeCell ref="A7:J7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9"/>
  <sheetViews>
    <sheetView workbookViewId="0">
      <pane xSplit="2" ySplit="5" topLeftCell="C10" activePane="bottomRight" state="frozen"/>
      <selection activeCell="H4" sqref="H4"/>
      <selection pane="topRight" activeCell="H4" sqref="H4"/>
      <selection pane="bottomLeft" activeCell="H4" sqref="H4"/>
      <selection pane="bottomRight" activeCell="F192" sqref="A191:F208"/>
    </sheetView>
  </sheetViews>
  <sheetFormatPr baseColWidth="10" defaultRowHeight="15" x14ac:dyDescent="0.25"/>
  <cols>
    <col min="1" max="1" width="16.28515625" customWidth="1"/>
    <col min="2" max="2" width="26.85546875" customWidth="1"/>
    <col min="3" max="3" width="11.140625" customWidth="1"/>
    <col min="4" max="5" width="9.7109375" customWidth="1"/>
    <col min="6" max="13" width="8.28515625" customWidth="1"/>
    <col min="14" max="14" width="8" customWidth="1"/>
    <col min="15" max="18" width="11.42578125" customWidth="1"/>
  </cols>
  <sheetData>
    <row r="1" spans="1:28" x14ac:dyDescent="0.25">
      <c r="A1" s="399"/>
      <c r="B1" s="201"/>
      <c r="C1" s="399" t="str">
        <f>'ISS A15 PB BAN'!B2</f>
        <v>ISS-A15-PB-BAN</v>
      </c>
      <c r="D1" s="399"/>
      <c r="E1" s="364" t="str">
        <f>'ISS A15 PB PAR'!B2</f>
        <v>ISS-A15-PB-PAR</v>
      </c>
      <c r="F1" s="364"/>
      <c r="G1" s="364" t="str">
        <f>'IVR A15 PB BAN'!B2</f>
        <v>IVR-A15-PB-BAN</v>
      </c>
      <c r="H1" s="364"/>
      <c r="I1" s="364" t="str">
        <f>'IVR A15 PB PAR'!B2</f>
        <v>IVR-A15-PB-PAR</v>
      </c>
      <c r="J1" s="364"/>
      <c r="K1" s="364" t="str">
        <f>'ROM A15 PB BAN'!B2</f>
        <v>ROM-A15-PB-BAN</v>
      </c>
      <c r="L1" s="364"/>
      <c r="M1" s="364" t="str">
        <f>'ROM A15 PB PAR'!B2</f>
        <v>ROM-A15-PB-PAR</v>
      </c>
      <c r="N1" s="364"/>
      <c r="O1" s="364" t="str">
        <f>'STO A15 PB BAN'!B2</f>
        <v>STO-A15-PB-BAN</v>
      </c>
      <c r="P1" s="364"/>
      <c r="Q1" s="364" t="str">
        <f>'STO A15 PB PAR '!B2</f>
        <v>STO-A15-PB-PAR</v>
      </c>
      <c r="R1" s="364"/>
      <c r="S1" s="365" t="s">
        <v>76</v>
      </c>
      <c r="T1" s="365"/>
      <c r="U1" s="398" t="s">
        <v>77</v>
      </c>
      <c r="V1" s="398"/>
      <c r="W1" s="398" t="s">
        <v>78</v>
      </c>
      <c r="X1" s="398"/>
    </row>
    <row r="2" spans="1:28" x14ac:dyDescent="0.25">
      <c r="A2" s="399"/>
      <c r="B2" s="202"/>
      <c r="C2" s="400">
        <f>'ISS A15 PB BAN'!G11</f>
        <v>0.22735849056603771</v>
      </c>
      <c r="D2" s="400"/>
      <c r="E2" s="400">
        <f>'ISS A15 PB PAR'!G11</f>
        <v>0.26914893617021274</v>
      </c>
      <c r="F2" s="400"/>
      <c r="G2" s="400">
        <f>'IVR A15 PB BAN'!G11</f>
        <v>0.32549999999999996</v>
      </c>
      <c r="H2" s="400"/>
      <c r="I2" s="400">
        <f>'IVR A15 PB PAR'!G11</f>
        <v>0.31174999999999997</v>
      </c>
      <c r="J2" s="400"/>
      <c r="K2" s="400">
        <f>'ROM A15 PB BAN'!G11</f>
        <v>0.29431818181818181</v>
      </c>
      <c r="L2" s="400"/>
      <c r="M2" s="400">
        <f>'ROM A15 PB PAR'!G11</f>
        <v>0.23054545454545458</v>
      </c>
      <c r="N2" s="400"/>
      <c r="O2" s="400">
        <f>'STO A15 PB BAN'!G11</f>
        <v>0.25019999999999998</v>
      </c>
      <c r="P2" s="400"/>
      <c r="Q2" s="400">
        <f>'STO A15 PB PAR '!G11</f>
        <v>0.21166666666666667</v>
      </c>
      <c r="R2" s="400"/>
      <c r="S2" s="406">
        <f>AVERAGE(C2:R2)</f>
        <v>0.26506096622081921</v>
      </c>
      <c r="T2" s="406"/>
      <c r="U2" s="406">
        <f>AVERAGE(E2,I2,M2,Q2)</f>
        <v>0.25577776434558352</v>
      </c>
      <c r="V2" s="406"/>
      <c r="W2" s="406">
        <f>AVERAGE(C2,G2,K2,O2)</f>
        <v>0.27434416809605489</v>
      </c>
      <c r="X2" s="406"/>
    </row>
    <row r="3" spans="1:28" x14ac:dyDescent="0.25">
      <c r="A3" s="399"/>
      <c r="B3" s="202" t="s">
        <v>79</v>
      </c>
      <c r="C3" s="401">
        <f>'ISS A15 PB BAN'!G12</f>
        <v>0.36448132780082987</v>
      </c>
      <c r="D3" s="401"/>
      <c r="E3" s="370">
        <f>'ISS A15 PB PAR'!G12</f>
        <v>0.33059288537549381</v>
      </c>
      <c r="F3" s="370"/>
      <c r="G3" s="370">
        <f>'IVR A15 PB BAN'!G12</f>
        <v>0.40337941628264201</v>
      </c>
      <c r="H3" s="370"/>
      <c r="I3" s="370">
        <f>'IVR A15 PB PAR'!G12</f>
        <v>0.35813953488372091</v>
      </c>
      <c r="J3" s="370"/>
      <c r="K3" s="370">
        <f>'ROM A15 PB BAN'!G12</f>
        <v>0.37204633204633186</v>
      </c>
      <c r="L3" s="370"/>
      <c r="M3" s="370">
        <f>'ROM A15 PB PAR'!G12</f>
        <v>0.37425078864353317</v>
      </c>
      <c r="N3" s="370"/>
      <c r="O3" s="370">
        <f>'STO A15 PB BAN'!G12</f>
        <v>0.34580335731414863</v>
      </c>
      <c r="P3" s="370"/>
      <c r="Q3" s="370">
        <f>'STO A15 PB PAR '!G12</f>
        <v>0.30829921259842541</v>
      </c>
      <c r="R3" s="370"/>
      <c r="S3" s="405">
        <f>AVERAGE(C3:R3)</f>
        <v>0.35712410686814072</v>
      </c>
      <c r="T3" s="405"/>
      <c r="U3" s="407">
        <f>AVERAGE(E3,I3,M3,Q3)</f>
        <v>0.3428206053752933</v>
      </c>
      <c r="V3" s="407"/>
      <c r="W3" s="407">
        <f>AVERAGE(C3,G3,K3,O3)</f>
        <v>0.37142760836098809</v>
      </c>
      <c r="X3" s="407"/>
    </row>
    <row r="4" spans="1:28" ht="15" customHeight="1" x14ac:dyDescent="0.25">
      <c r="A4" s="366"/>
      <c r="B4" s="367"/>
      <c r="C4" s="368" t="s">
        <v>16</v>
      </c>
      <c r="D4" s="369" t="s">
        <v>17</v>
      </c>
      <c r="E4" s="368" t="s">
        <v>16</v>
      </c>
      <c r="F4" s="369" t="s">
        <v>17</v>
      </c>
      <c r="G4" s="368" t="s">
        <v>16</v>
      </c>
      <c r="H4" s="369" t="s">
        <v>17</v>
      </c>
      <c r="I4" s="368" t="s">
        <v>16</v>
      </c>
      <c r="J4" s="369" t="s">
        <v>17</v>
      </c>
      <c r="K4" s="368" t="s">
        <v>16</v>
      </c>
      <c r="L4" s="369" t="s">
        <v>17</v>
      </c>
      <c r="M4" s="368" t="s">
        <v>16</v>
      </c>
      <c r="N4" s="369" t="s">
        <v>17</v>
      </c>
      <c r="O4" s="368" t="s">
        <v>16</v>
      </c>
      <c r="P4" s="369" t="s">
        <v>17</v>
      </c>
      <c r="Q4" s="368" t="s">
        <v>16</v>
      </c>
      <c r="R4" s="369" t="s">
        <v>17</v>
      </c>
      <c r="S4" s="404" t="s">
        <v>107</v>
      </c>
      <c r="T4" s="404" t="s">
        <v>108</v>
      </c>
      <c r="U4" s="404" t="s">
        <v>107</v>
      </c>
      <c r="V4" s="404" t="s">
        <v>108</v>
      </c>
      <c r="W4" s="404" t="s">
        <v>107</v>
      </c>
      <c r="X4" s="404" t="s">
        <v>108</v>
      </c>
    </row>
    <row r="5" spans="1:28" x14ac:dyDescent="0.25">
      <c r="A5" s="196" t="s">
        <v>20</v>
      </c>
      <c r="B5" s="206" t="s">
        <v>21</v>
      </c>
      <c r="C5" s="368"/>
      <c r="D5" s="369"/>
      <c r="E5" s="368"/>
      <c r="F5" s="369"/>
      <c r="G5" s="368"/>
      <c r="H5" s="369"/>
      <c r="I5" s="368"/>
      <c r="J5" s="369"/>
      <c r="K5" s="368"/>
      <c r="L5" s="369"/>
      <c r="M5" s="368"/>
      <c r="N5" s="369"/>
      <c r="O5" s="368"/>
      <c r="P5" s="369"/>
      <c r="Q5" s="368"/>
      <c r="R5" s="369"/>
      <c r="S5" s="404"/>
      <c r="T5" s="404"/>
      <c r="U5" s="404"/>
      <c r="V5" s="404"/>
      <c r="W5" s="404"/>
      <c r="X5" s="404"/>
      <c r="AA5" t="s">
        <v>87</v>
      </c>
      <c r="AB5" t="s">
        <v>88</v>
      </c>
    </row>
    <row r="6" spans="1:28" ht="25.5" x14ac:dyDescent="0.25">
      <c r="A6" s="403" t="s">
        <v>26</v>
      </c>
      <c r="B6" s="181" t="s">
        <v>119</v>
      </c>
      <c r="C6" s="174">
        <f>'ISS A15 PB BAN'!G18</f>
        <v>3.6636374006616214E-2</v>
      </c>
      <c r="D6" s="111">
        <f>'ISS A15 PB BAN'!H18</f>
        <v>8.3358377556122826E-2</v>
      </c>
      <c r="E6" s="111">
        <f>'ISS A15 PB PAR'!G18</f>
        <v>7.3578536958230606E-2</v>
      </c>
      <c r="F6" s="111">
        <f>'ISS A15 PB PAR'!H18</f>
        <v>0.1455025752364181</v>
      </c>
      <c r="G6" s="111">
        <f>'IVR A15 PB BAN'!G18</f>
        <v>3.4982295173472421E-2</v>
      </c>
      <c r="H6" s="111">
        <f>'IVR A15 PB BAN'!H18</f>
        <v>6.8492058795716793E-2</v>
      </c>
      <c r="I6" s="111">
        <f>'IVR A15 PB PAR'!G18</f>
        <v>2.8103433940300994E-2</v>
      </c>
      <c r="J6" s="111">
        <f>'IVR A15 PB PAR'!H18</f>
        <v>6.3245310176008068E-2</v>
      </c>
      <c r="K6" s="111">
        <f>'ROM A15 PB BAN'!G18</f>
        <v>1.3910034939782561E-2</v>
      </c>
      <c r="L6" s="111">
        <f>'ROM A15 PB BAN'!H18</f>
        <v>2.9643617124556008E-2</v>
      </c>
      <c r="M6" s="111">
        <f>'ROM A15 PB PAR'!G18</f>
        <v>0.10055687369155614</v>
      </c>
      <c r="N6" s="111">
        <f>'ROM A15 PB PAR'!H18</f>
        <v>0.20515892450148601</v>
      </c>
      <c r="O6" s="111">
        <f>'STO A15 PB BAN'!G18</f>
        <v>2.5802408998107196E-2</v>
      </c>
      <c r="P6" s="111">
        <f>'STO A15 PB BAN'!H18</f>
        <v>5.8732521947788274E-2</v>
      </c>
      <c r="Q6" s="111">
        <f>'STO A15 PB PAR '!G18</f>
        <v>2.9476388288769844E-2</v>
      </c>
      <c r="R6" s="111">
        <f>'STO A15 PB PAR '!H18</f>
        <v>6.6893741834223239E-2</v>
      </c>
      <c r="S6" s="62">
        <f>AVERAGE(C6,E6,G6,I6,K6,M6,O6,Q6)</f>
        <v>4.2880793249604497E-2</v>
      </c>
      <c r="T6" s="62">
        <f>AVERAGE(D6,F6,H6,J6,L6,N6,P6,R6)</f>
        <v>9.0128390896539901E-2</v>
      </c>
      <c r="U6" s="62">
        <f>AVERAGE(E6,I6,M6,Q6)</f>
        <v>5.7928808219714391E-2</v>
      </c>
      <c r="V6" s="62">
        <f>AVERAGE(F6,J6,N6,R6)</f>
        <v>0.12020013793703385</v>
      </c>
      <c r="W6" s="62">
        <f>AVERAGE(C6,G6,K6,O6)</f>
        <v>2.7832778279494597E-2</v>
      </c>
      <c r="X6" s="62">
        <f>AVERAGE(D6,H6,L6,P6)</f>
        <v>6.0056643856045977E-2</v>
      </c>
      <c r="Y6" s="232">
        <f>+(W6+U6)/2-S6</f>
        <v>0</v>
      </c>
      <c r="Z6" s="232">
        <f>+(X6+V6)/2-T6</f>
        <v>0</v>
      </c>
      <c r="AA6" s="31">
        <f>MIN(D6,F6,H6,J6,L6,N6,P6,R6)</f>
        <v>2.9643617124556008E-2</v>
      </c>
      <c r="AB6" s="31">
        <f>MAX(D6,F6,H6,J6,L6,N6,P6,R6)</f>
        <v>0.20515892450148601</v>
      </c>
    </row>
    <row r="7" spans="1:28" ht="25.5" x14ac:dyDescent="0.25">
      <c r="A7" s="403"/>
      <c r="B7" s="181" t="s">
        <v>27</v>
      </c>
      <c r="C7" s="174">
        <f>'ISS A15 PB BAN'!G19</f>
        <v>1.363169702270048E-2</v>
      </c>
      <c r="D7" s="111">
        <f>'ISS A15 PB BAN'!H19</f>
        <v>3.1016064716004182E-2</v>
      </c>
      <c r="E7" s="111">
        <f>'ISS A15 PB PAR'!G19</f>
        <v>8.5828929465334838E-2</v>
      </c>
      <c r="F7" s="111">
        <f>'ISS A15 PB PAR'!H19</f>
        <v>0.16972789597706375</v>
      </c>
      <c r="G7" s="111">
        <f>'IVR A15 PB BAN'!G19</f>
        <v>0.14096954171785406</v>
      </c>
      <c r="H7" s="111">
        <f>'IVR A15 PB BAN'!H19</f>
        <v>0.27600516466587538</v>
      </c>
      <c r="I7" s="111">
        <f>'IVR A15 PB PAR'!G19</f>
        <v>2.4828016743747336E-2</v>
      </c>
      <c r="J7" s="111">
        <f>'IVR A15 PB PAR'!H19</f>
        <v>5.587415485769652E-2</v>
      </c>
      <c r="K7" s="111">
        <f>'ROM A15 PB BAN'!G19</f>
        <v>0.1026775780289278</v>
      </c>
      <c r="L7" s="111">
        <f>'ROM A15 PB BAN'!H19</f>
        <v>0.21881575593036137</v>
      </c>
      <c r="M7" s="111">
        <f>'ROM A15 PB PAR'!G19</f>
        <v>4.9729239357990229E-2</v>
      </c>
      <c r="N7" s="111">
        <f>'ROM A15 PB PAR'!H19</f>
        <v>0.10145897429405613</v>
      </c>
      <c r="O7" s="111">
        <f>'STO A15 PB BAN'!G19</f>
        <v>1.1664982797890942E-2</v>
      </c>
      <c r="P7" s="111">
        <f>'STO A15 PB BAN'!H19</f>
        <v>2.6552321461455815E-2</v>
      </c>
      <c r="Q7" s="111">
        <f>'STO A15 PB PAR '!G19</f>
        <v>3.7784516622166656E-2</v>
      </c>
      <c r="R7" s="111">
        <f>'STO A15 PB PAR '!H19</f>
        <v>8.5748215673257994E-2</v>
      </c>
      <c r="S7" s="62">
        <f t="shared" ref="S7:S51" si="0">AVERAGE(C7,E7,G7,I7,K7,M7,O7,Q7)</f>
        <v>5.8389312719576543E-2</v>
      </c>
      <c r="T7" s="62">
        <f t="shared" ref="T7:T51" si="1">AVERAGE(D7,F7,H7,J7,L7,N7,P7,R7)</f>
        <v>0.1206498184469714</v>
      </c>
      <c r="U7" s="62">
        <f t="shared" ref="U7:U51" si="2">AVERAGE(E7,I7,M7,Q7)</f>
        <v>4.9542675547309761E-2</v>
      </c>
      <c r="V7" s="62">
        <f>AVERAGE(F7,J7,N7,R7)</f>
        <v>0.10320231020051859</v>
      </c>
      <c r="W7" s="62">
        <f t="shared" ref="W7:W51" si="3">AVERAGE(C7,G7,K7,O7)</f>
        <v>6.7235949891843325E-2</v>
      </c>
      <c r="X7" s="62">
        <f t="shared" ref="X7:X51" si="4">AVERAGE(D7,H7,L7,P7)</f>
        <v>0.1380973266934242</v>
      </c>
      <c r="Y7" s="232">
        <f t="shared" ref="Y7:Y51" si="5">+(W7+U7)/2-S7</f>
        <v>0</v>
      </c>
      <c r="Z7" s="232">
        <f t="shared" ref="Z7:Z51" si="6">+(X7+V7)/2-T7</f>
        <v>0</v>
      </c>
      <c r="AA7" s="31">
        <f t="shared" ref="AA7:AA51" si="7">MIN(D7,F7,H7,J7,L7,N7,P7,R7)</f>
        <v>2.6552321461455815E-2</v>
      </c>
      <c r="AB7" s="31">
        <f t="shared" ref="AB7:AB51" si="8">MAX(D7,F7,H7,J7,L7,N7,P7,R7)</f>
        <v>0.27600516466587538</v>
      </c>
    </row>
    <row r="8" spans="1:28" x14ac:dyDescent="0.25">
      <c r="A8" s="403"/>
      <c r="B8" s="181" t="s">
        <v>28</v>
      </c>
      <c r="C8" s="174">
        <f>'ISS A15 PB BAN'!G20</f>
        <v>0</v>
      </c>
      <c r="D8" s="111">
        <f>'ISS A15 PB BAN'!H20</f>
        <v>0</v>
      </c>
      <c r="E8" s="111">
        <f>'ISS A15 PB PAR'!G20</f>
        <v>0</v>
      </c>
      <c r="F8" s="111">
        <f>'ISS A15 PB PAR'!H20</f>
        <v>0</v>
      </c>
      <c r="G8" s="111">
        <f>'IVR A15 PB BAN'!G20</f>
        <v>0</v>
      </c>
      <c r="H8" s="111">
        <f>'IVR A15 PB BAN'!H20</f>
        <v>0</v>
      </c>
      <c r="I8" s="111">
        <f>'IVR A15 PB PAR'!G20</f>
        <v>0</v>
      </c>
      <c r="J8" s="111">
        <f>'IVR A15 PB PAR'!H20</f>
        <v>0</v>
      </c>
      <c r="K8" s="111">
        <f>'ROM A15 PB BAN'!G20</f>
        <v>0</v>
      </c>
      <c r="L8" s="111">
        <f>'ROM A15 PB BAN'!H20</f>
        <v>0</v>
      </c>
      <c r="M8" s="111">
        <f>'ROM A15 PB PAR'!G20</f>
        <v>2.9211444521981839E-3</v>
      </c>
      <c r="N8" s="111">
        <f>'ROM A15 PB PAR'!H20</f>
        <v>5.9597999830894267E-3</v>
      </c>
      <c r="O8" s="111">
        <f>'STO A15 PB BAN'!G20</f>
        <v>0</v>
      </c>
      <c r="P8" s="111">
        <f>'STO A15 PB BAN'!H20</f>
        <v>0</v>
      </c>
      <c r="Q8" s="111">
        <f>'STO A15 PB PAR '!G20</f>
        <v>0</v>
      </c>
      <c r="R8" s="111">
        <f>'STO A15 PB PAR '!H20</f>
        <v>0</v>
      </c>
      <c r="S8" s="62">
        <f t="shared" si="0"/>
        <v>3.6514305652477299E-4</v>
      </c>
      <c r="T8" s="62">
        <f t="shared" si="1"/>
        <v>7.4497499788617834E-4</v>
      </c>
      <c r="U8" s="62">
        <f t="shared" si="2"/>
        <v>7.3028611304954598E-4</v>
      </c>
      <c r="V8" s="62">
        <f t="shared" ref="V8:V51" si="9">AVERAGE(F8,J8,N8,R8)</f>
        <v>1.4899499957723567E-3</v>
      </c>
      <c r="W8" s="62">
        <f t="shared" si="3"/>
        <v>0</v>
      </c>
      <c r="X8" s="62">
        <f t="shared" si="4"/>
        <v>0</v>
      </c>
      <c r="Y8" s="232">
        <f t="shared" si="5"/>
        <v>0</v>
      </c>
      <c r="Z8" s="232">
        <f t="shared" si="6"/>
        <v>0</v>
      </c>
      <c r="AA8" s="31">
        <f t="shared" si="7"/>
        <v>0</v>
      </c>
      <c r="AB8" s="31">
        <f t="shared" si="8"/>
        <v>5.9597999830894267E-3</v>
      </c>
    </row>
    <row r="9" spans="1:28" x14ac:dyDescent="0.25">
      <c r="A9" s="403"/>
      <c r="B9" s="181" t="s">
        <v>29</v>
      </c>
      <c r="C9" s="174">
        <f>'ISS A15 PB BAN'!G21</f>
        <v>9.5060648693867959E-4</v>
      </c>
      <c r="D9" s="111">
        <f>'ISS A15 PB BAN'!H21</f>
        <v>2.16290548926113E-3</v>
      </c>
      <c r="E9" s="111">
        <f>'ISS A15 PB PAR'!G21</f>
        <v>0</v>
      </c>
      <c r="F9" s="111">
        <f>'ISS A15 PB PAR'!H21</f>
        <v>0</v>
      </c>
      <c r="G9" s="111">
        <f>'IVR A15 PB BAN'!G21</f>
        <v>2.3884695604069759E-3</v>
      </c>
      <c r="H9" s="111">
        <f>'IVR A15 PB BAN'!H21</f>
        <v>4.6763997831459616E-3</v>
      </c>
      <c r="I9" s="111">
        <f>'IVR A15 PB PAR'!G21</f>
        <v>4.7229798527084555E-3</v>
      </c>
      <c r="J9" s="111">
        <f>'IVR A15 PB PAR'!H21</f>
        <v>1.062881946647919E-2</v>
      </c>
      <c r="K9" s="111">
        <f>'ROM A15 PB BAN'!G21</f>
        <v>9.6718783549023114E-4</v>
      </c>
      <c r="L9" s="111">
        <f>'ROM A15 PB BAN'!H21</f>
        <v>2.0611699400410457E-3</v>
      </c>
      <c r="M9" s="111">
        <f>'ROM A15 PB PAR'!G21</f>
        <v>0</v>
      </c>
      <c r="N9" s="111">
        <f>'ROM A15 PB PAR'!H21</f>
        <v>0</v>
      </c>
      <c r="O9" s="111">
        <f>'STO A15 PB BAN'!G21</f>
        <v>0</v>
      </c>
      <c r="P9" s="111">
        <f>'STO A15 PB BAN'!H21</f>
        <v>0</v>
      </c>
      <c r="Q9" s="111">
        <f>'STO A15 PB PAR '!G21</f>
        <v>1.1163308699632144E-4</v>
      </c>
      <c r="R9" s="111">
        <f>'STO A15 PB PAR '!H21</f>
        <v>2.5334022704994559E-4</v>
      </c>
      <c r="S9" s="62">
        <f t="shared" si="0"/>
        <v>1.1426096028175829E-3</v>
      </c>
      <c r="T9" s="62">
        <f t="shared" si="1"/>
        <v>2.4728293632471591E-3</v>
      </c>
      <c r="U9" s="62">
        <f t="shared" si="2"/>
        <v>1.2086532349261942E-3</v>
      </c>
      <c r="V9" s="62">
        <f t="shared" si="9"/>
        <v>2.7205399233822839E-3</v>
      </c>
      <c r="W9" s="62">
        <f t="shared" si="3"/>
        <v>1.0765659707089716E-3</v>
      </c>
      <c r="X9" s="62">
        <f t="shared" si="4"/>
        <v>2.2251188031120342E-3</v>
      </c>
      <c r="Y9" s="232">
        <f t="shared" si="5"/>
        <v>0</v>
      </c>
      <c r="Z9" s="232">
        <f t="shared" si="6"/>
        <v>0</v>
      </c>
      <c r="AA9" s="31">
        <f t="shared" si="7"/>
        <v>0</v>
      </c>
      <c r="AB9" s="31">
        <f t="shared" si="8"/>
        <v>1.062881946647919E-2</v>
      </c>
    </row>
    <row r="10" spans="1:28" x14ac:dyDescent="0.25">
      <c r="A10" s="403"/>
      <c r="B10" s="181" t="s">
        <v>30</v>
      </c>
      <c r="C10" s="174">
        <f>'ISS A15 PB BAN'!G22</f>
        <v>0</v>
      </c>
      <c r="D10" s="111">
        <f>'ISS A15 PB BAN'!H22</f>
        <v>0</v>
      </c>
      <c r="E10" s="111">
        <f>'ISS A15 PB PAR'!G22</f>
        <v>1.2001843687477103E-4</v>
      </c>
      <c r="F10" s="111">
        <f>'ISS A15 PB PAR'!H22</f>
        <v>2.3733812009665454E-4</v>
      </c>
      <c r="G10" s="111">
        <f>'IVR A15 PB BAN'!G22</f>
        <v>1.2459413460651935E-4</v>
      </c>
      <c r="H10" s="111">
        <f>'IVR A15 PB BAN'!H22</f>
        <v>2.439436506596746E-4</v>
      </c>
      <c r="I10" s="111">
        <f>'IVR A15 PB PAR'!G22</f>
        <v>9.4459597054169118E-4</v>
      </c>
      <c r="J10" s="111">
        <f>'IVR A15 PB PAR'!H22</f>
        <v>2.125763893295838E-3</v>
      </c>
      <c r="K10" s="111">
        <f>'ROM A15 PB BAN'!G22</f>
        <v>0</v>
      </c>
      <c r="L10" s="111">
        <f>'ROM A15 PB BAN'!H22</f>
        <v>0</v>
      </c>
      <c r="M10" s="111">
        <f>'ROM A15 PB PAR'!G22</f>
        <v>8.0949057920446656E-4</v>
      </c>
      <c r="N10" s="111">
        <f>'ROM A15 PB PAR'!H22</f>
        <v>1.6515451458155143E-3</v>
      </c>
      <c r="O10" s="111">
        <f>'STO A15 PB BAN'!G22</f>
        <v>0</v>
      </c>
      <c r="P10" s="111">
        <f>'STO A15 PB BAN'!H22</f>
        <v>0</v>
      </c>
      <c r="Q10" s="111">
        <f>'STO A15 PB PAR '!G22</f>
        <v>1.1163308699632144E-4</v>
      </c>
      <c r="R10" s="111">
        <f>'STO A15 PB PAR '!H22</f>
        <v>2.5334022704994559E-4</v>
      </c>
      <c r="S10" s="62">
        <f t="shared" si="0"/>
        <v>2.6379152602797122E-4</v>
      </c>
      <c r="T10" s="62">
        <f t="shared" si="1"/>
        <v>5.639913796147034E-4</v>
      </c>
      <c r="U10" s="62">
        <f t="shared" si="2"/>
        <v>4.9643451840431256E-4</v>
      </c>
      <c r="V10" s="62">
        <f t="shared" si="9"/>
        <v>1.066996846564488E-3</v>
      </c>
      <c r="W10" s="62">
        <f t="shared" si="3"/>
        <v>3.1148533651629838E-5</v>
      </c>
      <c r="X10" s="62">
        <f t="shared" si="4"/>
        <v>6.0985912664918649E-5</v>
      </c>
      <c r="Y10" s="232">
        <f t="shared" si="5"/>
        <v>0</v>
      </c>
      <c r="Z10" s="232">
        <f t="shared" si="6"/>
        <v>0</v>
      </c>
      <c r="AA10" s="31">
        <f t="shared" si="7"/>
        <v>0</v>
      </c>
      <c r="AB10" s="31">
        <f t="shared" si="8"/>
        <v>2.125763893295838E-3</v>
      </c>
    </row>
    <row r="11" spans="1:28" x14ac:dyDescent="0.25">
      <c r="A11" s="402" t="s">
        <v>31</v>
      </c>
      <c r="B11" s="203" t="s">
        <v>32</v>
      </c>
      <c r="C11" s="176">
        <f>'ISS A15 PB BAN'!G23</f>
        <v>8.3083006958439513E-3</v>
      </c>
      <c r="D11" s="96">
        <f>'ISS A15 PB BAN'!H23</f>
        <v>7.9103933711101252E-3</v>
      </c>
      <c r="E11" s="96">
        <f>'ISS A15 PB PAR'!G23</f>
        <v>1.5135516562331496E-2</v>
      </c>
      <c r="F11" s="96">
        <f>'ISS A15 PB PAR'!H23</f>
        <v>1.2485630622489172E-2</v>
      </c>
      <c r="G11" s="96">
        <f>'IVR A15 PB BAN'!G23</f>
        <v>5.108359518867291E-3</v>
      </c>
      <c r="H11" s="96">
        <f>'IVR A15 PB BAN'!H23</f>
        <v>4.1972878151449403E-3</v>
      </c>
      <c r="I11" s="96">
        <f>'IVR A15 PB PAR'!G23</f>
        <v>1.2660039501286045E-2</v>
      </c>
      <c r="J11" s="96">
        <f>'IVR A15 PB PAR'!H23</f>
        <v>1.1937396075549767E-2</v>
      </c>
      <c r="K11" s="96">
        <f>'ROM A15 PB BAN'!G23</f>
        <v>9.3219925435771376E-3</v>
      </c>
      <c r="L11" s="96">
        <f>'ROM A15 PB BAN'!H23</f>
        <v>8.2897775784404985E-3</v>
      </c>
      <c r="M11" s="96">
        <f>'ROM A15 PB PAR'!G23</f>
        <v>2.0590369853454284E-2</v>
      </c>
      <c r="N11" s="96">
        <f>'ROM A15 PB PAR'!H23</f>
        <v>1.769533394897339E-2</v>
      </c>
      <c r="O11" s="96">
        <f>'STO A15 PB BAN'!G23</f>
        <v>5.5770113299050562E-3</v>
      </c>
      <c r="P11" s="96">
        <f>'STO A15 PB BAN'!H23</f>
        <v>5.3146201115910922E-3</v>
      </c>
      <c r="Q11" s="96">
        <f>'STO A15 PB PAR '!G23</f>
        <v>1.2973078039407795E-2</v>
      </c>
      <c r="R11" s="96">
        <f>'STO A15 PB PAR '!H23</f>
        <v>1.2312450291678732E-2</v>
      </c>
      <c r="S11" s="60">
        <f t="shared" si="0"/>
        <v>1.1209333505584132E-2</v>
      </c>
      <c r="T11" s="60">
        <f t="shared" si="1"/>
        <v>1.0017861226872215E-2</v>
      </c>
      <c r="U11" s="60">
        <f t="shared" si="2"/>
        <v>1.5339750989119905E-2</v>
      </c>
      <c r="V11" s="60">
        <f t="shared" si="9"/>
        <v>1.3607702734672765E-2</v>
      </c>
      <c r="W11" s="60">
        <f t="shared" si="3"/>
        <v>7.078916022048359E-3</v>
      </c>
      <c r="X11" s="60">
        <f t="shared" si="4"/>
        <v>6.4280197190716643E-3</v>
      </c>
      <c r="Y11" s="232">
        <f t="shared" si="5"/>
        <v>0</v>
      </c>
      <c r="Z11" s="232">
        <f t="shared" si="6"/>
        <v>0</v>
      </c>
      <c r="AA11" s="244">
        <f t="shared" si="7"/>
        <v>4.1972878151449403E-3</v>
      </c>
      <c r="AB11" s="244">
        <f t="shared" si="8"/>
        <v>1.769533394897339E-2</v>
      </c>
    </row>
    <row r="12" spans="1:28" x14ac:dyDescent="0.25">
      <c r="A12" s="402"/>
      <c r="B12" s="203" t="s">
        <v>33</v>
      </c>
      <c r="C12" s="176">
        <f>'ISS A15 PB BAN'!G24</f>
        <v>2.5419217460739944E-2</v>
      </c>
      <c r="D12" s="96">
        <f>'ISS A15 PB BAN'!H24</f>
        <v>2.3418443262360453E-2</v>
      </c>
      <c r="E12" s="96">
        <f>'ISS A15 PB PAR'!G24</f>
        <v>2.0043078958086744E-2</v>
      </c>
      <c r="F12" s="96">
        <f>'ISS A15 PB PAR'!H24</f>
        <v>1.6004270890525488E-2</v>
      </c>
      <c r="G12" s="96">
        <f>'IVR A15 PB BAN'!G24</f>
        <v>1.0341313172341098E-2</v>
      </c>
      <c r="H12" s="96">
        <f>'IVR A15 PB BAN'!H24</f>
        <v>8.2154238491755922E-3</v>
      </c>
      <c r="I12" s="96">
        <f>'IVR A15 PB PAR'!G24</f>
        <v>5.7441794214383765E-2</v>
      </c>
      <c r="J12" s="96">
        <f>'IVR A15 PB PAR'!H24</f>
        <v>5.2399531389720588E-2</v>
      </c>
      <c r="K12" s="96">
        <f>'ROM A15 PB BAN'!G24</f>
        <v>2.4909234643087193E-2</v>
      </c>
      <c r="L12" s="96">
        <f>'ROM A15 PB BAN'!H24</f>
        <v>2.1383477929303129E-2</v>
      </c>
      <c r="M12" s="96">
        <f>'ROM A15 PB PAR'!G24</f>
        <v>0.10249406838799716</v>
      </c>
      <c r="N12" s="96">
        <f>'ROM A15 PB PAR'!H24</f>
        <v>8.5157161952159707E-2</v>
      </c>
      <c r="O12" s="96">
        <f>'STO A15 PB BAN'!G24</f>
        <v>2.2789253348395093E-2</v>
      </c>
      <c r="P12" s="96">
        <f>'STO A15 PB BAN'!H24</f>
        <v>2.0970930652672259E-2</v>
      </c>
      <c r="Q12" s="96">
        <f>'STO A15 PB PAR '!G24</f>
        <v>6.0815079134725364E-2</v>
      </c>
      <c r="R12" s="96">
        <f>'STO A15 PB PAR '!H24</f>
        <v>5.5829532806900263E-2</v>
      </c>
      <c r="S12" s="60">
        <f t="shared" si="0"/>
        <v>4.0531629914969544E-2</v>
      </c>
      <c r="T12" s="60">
        <f t="shared" si="1"/>
        <v>3.5422346591602184E-2</v>
      </c>
      <c r="U12" s="60">
        <f t="shared" si="2"/>
        <v>6.019850517379826E-2</v>
      </c>
      <c r="V12" s="60">
        <f t="shared" si="9"/>
        <v>5.234762425982651E-2</v>
      </c>
      <c r="W12" s="60">
        <f t="shared" si="3"/>
        <v>2.0864754656140835E-2</v>
      </c>
      <c r="X12" s="60">
        <f t="shared" si="4"/>
        <v>1.8497068923377859E-2</v>
      </c>
      <c r="Y12" s="232">
        <f t="shared" si="5"/>
        <v>0</v>
      </c>
      <c r="Z12" s="232">
        <f t="shared" si="6"/>
        <v>0</v>
      </c>
      <c r="AA12" s="244">
        <f t="shared" si="7"/>
        <v>8.2154238491755922E-3</v>
      </c>
      <c r="AB12" s="244">
        <f t="shared" si="8"/>
        <v>8.5157161952159707E-2</v>
      </c>
    </row>
    <row r="13" spans="1:28" x14ac:dyDescent="0.25">
      <c r="A13" s="402"/>
      <c r="B13" s="203" t="s">
        <v>34</v>
      </c>
      <c r="C13" s="176">
        <f>'ISS A15 PB BAN'!G25</f>
        <v>1.4164036655386134E-2</v>
      </c>
      <c r="D13" s="96">
        <f>'ISS A15 PB BAN'!H25</f>
        <v>1.3049169955466374E-2</v>
      </c>
      <c r="E13" s="96">
        <f>'ISS A15 PB PAR'!G25</f>
        <v>8.0740062622385849E-3</v>
      </c>
      <c r="F13" s="96">
        <f>'ISS A15 PB PAR'!H25</f>
        <v>6.4470425757879824E-3</v>
      </c>
      <c r="G13" s="96">
        <f>'IVR A15 PB BAN'!G25</f>
        <v>3.0297555712267287E-2</v>
      </c>
      <c r="H13" s="96">
        <f>'IVR A15 PB BAN'!H25</f>
        <v>2.4069212257879863E-2</v>
      </c>
      <c r="I13" s="96">
        <f>'IVR A15 PB PAR'!G25</f>
        <v>2.347450476864215E-2</v>
      </c>
      <c r="J13" s="96">
        <f>'IVR A15 PB PAR'!H25</f>
        <v>2.1413903696876468E-2</v>
      </c>
      <c r="K13" s="96">
        <f>'ROM A15 PB BAN'!G25</f>
        <v>2.8996603618902616E-2</v>
      </c>
      <c r="L13" s="96">
        <f>'ROM A15 PB BAN'!H25</f>
        <v>2.489230369354729E-2</v>
      </c>
      <c r="M13" s="96">
        <f>'ROM A15 PB PAR'!G25</f>
        <v>1.192044661549198E-2</v>
      </c>
      <c r="N13" s="96">
        <f>'ROM A15 PB PAR'!H25</f>
        <v>9.9040990268311185E-3</v>
      </c>
      <c r="O13" s="96">
        <f>'STO A15 PB BAN'!G25</f>
        <v>1.7451121272917699E-2</v>
      </c>
      <c r="P13" s="96">
        <f>'STO A15 PB BAN'!H25</f>
        <v>1.605872067991659E-2</v>
      </c>
      <c r="Q13" s="96">
        <f>'STO A15 PB PAR '!G25</f>
        <v>6.5863521327829628E-3</v>
      </c>
      <c r="R13" s="96">
        <f>'STO A15 PB PAR '!H25</f>
        <v>6.0464109840324158E-3</v>
      </c>
      <c r="S13" s="60">
        <f t="shared" si="0"/>
        <v>1.7620578379828677E-2</v>
      </c>
      <c r="T13" s="60">
        <f t="shared" si="1"/>
        <v>1.5235107858792264E-2</v>
      </c>
      <c r="U13" s="60">
        <f t="shared" si="2"/>
        <v>1.2513827444788919E-2</v>
      </c>
      <c r="V13" s="60">
        <f t="shared" si="9"/>
        <v>1.0952864070881996E-2</v>
      </c>
      <c r="W13" s="60">
        <f t="shared" si="3"/>
        <v>2.2727329314868434E-2</v>
      </c>
      <c r="X13" s="60">
        <f t="shared" si="4"/>
        <v>1.9517351646702531E-2</v>
      </c>
      <c r="Y13" s="232">
        <f t="shared" si="5"/>
        <v>0</v>
      </c>
      <c r="Z13" s="232">
        <f t="shared" si="6"/>
        <v>0</v>
      </c>
      <c r="AA13" s="244">
        <f t="shared" si="7"/>
        <v>6.0464109840324158E-3</v>
      </c>
      <c r="AB13" s="244">
        <f t="shared" si="8"/>
        <v>2.489230369354729E-2</v>
      </c>
    </row>
    <row r="14" spans="1:28" x14ac:dyDescent="0.25">
      <c r="A14" s="402"/>
      <c r="B14" s="203" t="s">
        <v>35</v>
      </c>
      <c r="C14" s="176">
        <f>'ISS A15 PB BAN'!G26</f>
        <v>9.2494011179132266E-2</v>
      </c>
      <c r="D14" s="96">
        <f>'ISS A15 PB BAN'!H26</f>
        <v>8.6069905048907588E-2</v>
      </c>
      <c r="E14" s="96">
        <f>'ISS A15 PB PAR'!G26</f>
        <v>1.8770968646672961E-2</v>
      </c>
      <c r="F14" s="96">
        <f>'ISS A15 PB PAR'!H26</f>
        <v>1.5139836868463135E-2</v>
      </c>
      <c r="G14" s="96">
        <f>'IVR A15 PB BAN'!G26</f>
        <v>5.35754778808033E-3</v>
      </c>
      <c r="H14" s="96">
        <f>'IVR A15 PB BAN'!H26</f>
        <v>4.2984625303354755E-3</v>
      </c>
      <c r="I14" s="96">
        <f>'IVR A15 PB PAR'!G26</f>
        <v>3.9610330308717974E-2</v>
      </c>
      <c r="J14" s="96">
        <f>'IVR A15 PB PAR'!H26</f>
        <v>3.6495352770886544E-2</v>
      </c>
      <c r="K14" s="96">
        <f>'ROM A15 PB BAN'!G26</f>
        <v>2.4359762643711824E-2</v>
      </c>
      <c r="L14" s="96">
        <f>'ROM A15 PB BAN'!H26</f>
        <v>2.1114751535926176E-2</v>
      </c>
      <c r="M14" s="96">
        <f>'ROM A15 PB PAR'!G26</f>
        <v>1.4588974180041866E-2</v>
      </c>
      <c r="N14" s="96">
        <f>'ROM A15 PB PAR'!H26</f>
        <v>1.2241493515933432E-2</v>
      </c>
      <c r="O14" s="96">
        <f>'STO A15 PB BAN'!G26</f>
        <v>2.9391634474381336E-2</v>
      </c>
      <c r="P14" s="96">
        <f>'STO A15 PB BAN'!H26</f>
        <v>2.7310231583465395E-2</v>
      </c>
      <c r="Q14" s="96">
        <f>'STO A15 PB PAR '!G26</f>
        <v>2.8488763801461221E-2</v>
      </c>
      <c r="R14" s="96">
        <f>'STO A15 PB PAR '!H26</f>
        <v>2.6414688357237582E-2</v>
      </c>
      <c r="S14" s="60">
        <f t="shared" si="0"/>
        <v>3.1632749127774973E-2</v>
      </c>
      <c r="T14" s="60">
        <f t="shared" si="1"/>
        <v>2.863559027639442E-2</v>
      </c>
      <c r="U14" s="60">
        <f t="shared" si="2"/>
        <v>2.5364759234223502E-2</v>
      </c>
      <c r="V14" s="60">
        <f t="shared" si="9"/>
        <v>2.2572842878130172E-2</v>
      </c>
      <c r="W14" s="60">
        <f t="shared" si="3"/>
        <v>3.7900739021326436E-2</v>
      </c>
      <c r="X14" s="60">
        <f t="shared" si="4"/>
        <v>3.4698337674658658E-2</v>
      </c>
      <c r="Y14" s="232">
        <f t="shared" si="5"/>
        <v>0</v>
      </c>
      <c r="Z14" s="232">
        <f t="shared" si="6"/>
        <v>0</v>
      </c>
      <c r="AA14" s="244">
        <f t="shared" si="7"/>
        <v>4.2984625303354755E-3</v>
      </c>
      <c r="AB14" s="244">
        <f t="shared" si="8"/>
        <v>8.6069905048907588E-2</v>
      </c>
    </row>
    <row r="15" spans="1:28" x14ac:dyDescent="0.25">
      <c r="A15" s="402"/>
      <c r="B15" s="203" t="s">
        <v>36</v>
      </c>
      <c r="C15" s="176">
        <f>'ISS A15 PB BAN'!G27</f>
        <v>2.0438039469181341E-2</v>
      </c>
      <c r="D15" s="96">
        <f>'ISS A15 PB BAN'!H27</f>
        <v>1.942098650946698E-2</v>
      </c>
      <c r="E15" s="96">
        <f>'ISS A15 PB PAR'!G27</f>
        <v>2.1991888966773204E-2</v>
      </c>
      <c r="F15" s="96">
        <f>'ISS A15 PB PAR'!H27</f>
        <v>1.8112678622041817E-2</v>
      </c>
      <c r="G15" s="96">
        <f>'IVR A15 PB BAN'!G27</f>
        <v>1.2537907765454043E-2</v>
      </c>
      <c r="H15" s="96">
        <f>'IVR A15 PB BAN'!H27</f>
        <v>1.0272748695234042E-2</v>
      </c>
      <c r="I15" s="96">
        <f>'IVR A15 PB PAR'!G27</f>
        <v>2.1915171737906664E-2</v>
      </c>
      <c r="J15" s="96">
        <f>'IVR A15 PB PAR'!H27</f>
        <v>2.0619271811286356E-2</v>
      </c>
      <c r="K15" s="96">
        <f>'ROM A15 PB BAN'!G27</f>
        <v>4.473414534168766E-2</v>
      </c>
      <c r="L15" s="96">
        <f>'ROM A15 PB BAN'!H27</f>
        <v>3.9601057102979308E-2</v>
      </c>
      <c r="M15" s="96">
        <f>'ROM A15 PB PAR'!G27</f>
        <v>7.3175157013258925E-3</v>
      </c>
      <c r="N15" s="96">
        <f>'ROM A15 PB PAR'!H27</f>
        <v>6.2703259650805521E-3</v>
      </c>
      <c r="O15" s="96">
        <f>'STO A15 PB BAN'!G27</f>
        <v>4.4110735971028868E-3</v>
      </c>
      <c r="P15" s="96">
        <f>'STO A15 PB BAN'!H27</f>
        <v>4.1859382898642257E-3</v>
      </c>
      <c r="Q15" s="96">
        <f>'STO A15 PB PAR '!G27</f>
        <v>3.7881703074375224E-2</v>
      </c>
      <c r="R15" s="96">
        <f>'STO A15 PB PAR '!H27</f>
        <v>3.5867825745062698E-2</v>
      </c>
      <c r="S15" s="60">
        <f t="shared" si="0"/>
        <v>2.1403430706725859E-2</v>
      </c>
      <c r="T15" s="60">
        <f t="shared" si="1"/>
        <v>1.9293854092626999E-2</v>
      </c>
      <c r="U15" s="60">
        <f t="shared" si="2"/>
        <v>2.2276569870095245E-2</v>
      </c>
      <c r="V15" s="60">
        <f t="shared" si="9"/>
        <v>2.0217525535867857E-2</v>
      </c>
      <c r="W15" s="60">
        <f t="shared" si="3"/>
        <v>2.0530291543356484E-2</v>
      </c>
      <c r="X15" s="60">
        <f t="shared" si="4"/>
        <v>1.8370182649386141E-2</v>
      </c>
      <c r="Y15" s="232">
        <f t="shared" si="5"/>
        <v>0</v>
      </c>
      <c r="Z15" s="232">
        <f t="shared" si="6"/>
        <v>0</v>
      </c>
      <c r="AA15" s="244">
        <f t="shared" si="7"/>
        <v>4.1859382898642257E-3</v>
      </c>
      <c r="AB15" s="244">
        <f t="shared" si="8"/>
        <v>3.9601057102979308E-2</v>
      </c>
    </row>
    <row r="16" spans="1:28" x14ac:dyDescent="0.25">
      <c r="A16" s="403" t="s">
        <v>37</v>
      </c>
      <c r="B16" s="181" t="s">
        <v>38</v>
      </c>
      <c r="C16" s="174">
        <f>'ISS A15 PB BAN'!G28</f>
        <v>5.9108711357846296E-2</v>
      </c>
      <c r="D16" s="111">
        <f>'ISS A15 PB BAN'!H28</f>
        <v>5.4923064441224877E-2</v>
      </c>
      <c r="E16" s="111">
        <f>'ISS A15 PB PAR'!G28</f>
        <v>1.2429568967828673E-2</v>
      </c>
      <c r="F16" s="111">
        <f>'ISS A15 PB PAR'!H28</f>
        <v>1.0021320881988515E-2</v>
      </c>
      <c r="G16" s="111">
        <f>'IVR A15 PB BAN'!G28</f>
        <v>8.0649783330799946E-3</v>
      </c>
      <c r="H16" s="111">
        <f>'IVR A15 PB BAN'!H28</f>
        <v>6.4533893620925707E-3</v>
      </c>
      <c r="I16" s="111">
        <f>'IVR A15 PB PAR'!G28</f>
        <v>2.0216807265619582E-2</v>
      </c>
      <c r="J16" s="111">
        <f>'IVR A15 PB PAR'!H28</f>
        <v>1.849649125884532E-2</v>
      </c>
      <c r="K16" s="111">
        <f>'ROM A15 PB BAN'!G28</f>
        <v>4.824813101442485E-2</v>
      </c>
      <c r="L16" s="111">
        <f>'ROM A15 PB BAN'!H28</f>
        <v>4.193467667201066E-2</v>
      </c>
      <c r="M16" s="111">
        <f>'ROM A15 PB PAR'!G28</f>
        <v>3.2939288206559662E-2</v>
      </c>
      <c r="N16" s="111">
        <f>'ROM A15 PB PAR'!H28</f>
        <v>2.7493522340697112E-2</v>
      </c>
      <c r="O16" s="111">
        <f>'STO A15 PB BAN'!G28</f>
        <v>5.9984564260740073E-2</v>
      </c>
      <c r="P16" s="111">
        <f>'STO A15 PB BAN'!H28</f>
        <v>5.5446505337759543E-2</v>
      </c>
      <c r="Q16" s="111">
        <f>'STO A15 PB PAR '!G28</f>
        <v>3.7051678239296677E-2</v>
      </c>
      <c r="R16" s="111">
        <f>'STO A15 PB PAR '!H28</f>
        <v>3.434924986052023E-2</v>
      </c>
      <c r="S16" s="62">
        <f t="shared" si="0"/>
        <v>3.4755465955674476E-2</v>
      </c>
      <c r="T16" s="62">
        <f t="shared" si="1"/>
        <v>3.1139777519392356E-2</v>
      </c>
      <c r="U16" s="62">
        <f t="shared" si="2"/>
        <v>2.5659335669826144E-2</v>
      </c>
      <c r="V16" s="62">
        <f t="shared" si="9"/>
        <v>2.2590146085512797E-2</v>
      </c>
      <c r="W16" s="62">
        <f t="shared" si="3"/>
        <v>4.3851596241522808E-2</v>
      </c>
      <c r="X16" s="62">
        <f t="shared" si="4"/>
        <v>3.9689408953271915E-2</v>
      </c>
      <c r="Y16" s="232">
        <f t="shared" si="5"/>
        <v>0</v>
      </c>
      <c r="Z16" s="232">
        <f t="shared" si="6"/>
        <v>0</v>
      </c>
      <c r="AA16" s="31">
        <f t="shared" si="7"/>
        <v>6.4533893620925707E-3</v>
      </c>
      <c r="AB16" s="31">
        <f t="shared" si="8"/>
        <v>5.5446505337759543E-2</v>
      </c>
    </row>
    <row r="17" spans="1:28" x14ac:dyDescent="0.25">
      <c r="A17" s="403"/>
      <c r="B17" s="181" t="s">
        <v>39</v>
      </c>
      <c r="C17" s="174">
        <f>'ISS A15 PB BAN'!G29</f>
        <v>2.4544659492756374E-2</v>
      </c>
      <c r="D17" s="111">
        <f>'ISS A15 PB BAN'!H29</f>
        <v>2.2819292419436022E-2</v>
      </c>
      <c r="E17" s="111">
        <f>'ISS A15 PB PAR'!G29</f>
        <v>2.2646457604763966E-2</v>
      </c>
      <c r="F17" s="111">
        <f>'ISS A15 PB PAR'!H29</f>
        <v>1.8266928900045661E-2</v>
      </c>
      <c r="G17" s="111">
        <f>'IVR A15 PB BAN'!G29</f>
        <v>0.13493170995482215</v>
      </c>
      <c r="H17" s="111">
        <f>'IVR A15 PB BAN'!H29</f>
        <v>0.10805526197621974</v>
      </c>
      <c r="I17" s="111">
        <f>'IVR A15 PB PAR'!G29</f>
        <v>3.3473864133568336E-2</v>
      </c>
      <c r="J17" s="111">
        <f>'IVR A15 PB PAR'!H29</f>
        <v>3.0644367488263591E-2</v>
      </c>
      <c r="K17" s="111">
        <f>'ROM A15 PB BAN'!G29</f>
        <v>5.2720032792645075E-2</v>
      </c>
      <c r="L17" s="111">
        <f>'ROM A15 PB BAN'!H29</f>
        <v>4.5880222677403139E-2</v>
      </c>
      <c r="M17" s="111">
        <f>'ROM A15 PB PAR'!G29</f>
        <v>2.8115840893230971E-2</v>
      </c>
      <c r="N17" s="111">
        <f>'ROM A15 PB PAR'!H29</f>
        <v>2.3486943803054144E-2</v>
      </c>
      <c r="O17" s="111">
        <f>'STO A15 PB BAN'!G29</f>
        <v>2.4717534983414058E-2</v>
      </c>
      <c r="P17" s="111">
        <f>'STO A15 PB BAN'!H29</f>
        <v>2.2874731246518364E-2</v>
      </c>
      <c r="Q17" s="111">
        <f>'STO A15 PB PAR '!G29</f>
        <v>4.8233373565022337E-2</v>
      </c>
      <c r="R17" s="111">
        <f>'STO A15 PB PAR '!H29</f>
        <v>4.4745323291906072E-2</v>
      </c>
      <c r="S17" s="62">
        <f t="shared" si="0"/>
        <v>4.6172934177527915E-2</v>
      </c>
      <c r="T17" s="62">
        <f t="shared" si="1"/>
        <v>3.9596633975355837E-2</v>
      </c>
      <c r="U17" s="62">
        <f t="shared" si="2"/>
        <v>3.3117384049146402E-2</v>
      </c>
      <c r="V17" s="62">
        <f t="shared" si="9"/>
        <v>2.9285890870817368E-2</v>
      </c>
      <c r="W17" s="62">
        <f t="shared" si="3"/>
        <v>5.9228484305909421E-2</v>
      </c>
      <c r="X17" s="62">
        <f t="shared" si="4"/>
        <v>4.9907377079894316E-2</v>
      </c>
      <c r="Y17" s="232">
        <f t="shared" si="5"/>
        <v>0</v>
      </c>
      <c r="Z17" s="232">
        <f t="shared" si="6"/>
        <v>0</v>
      </c>
      <c r="AA17" s="31">
        <f t="shared" si="7"/>
        <v>1.8266928900045661E-2</v>
      </c>
      <c r="AB17" s="31">
        <f t="shared" si="8"/>
        <v>0.10805526197621974</v>
      </c>
    </row>
    <row r="18" spans="1:28" x14ac:dyDescent="0.25">
      <c r="A18" s="403"/>
      <c r="B18" s="181" t="s">
        <v>40</v>
      </c>
      <c r="C18" s="174">
        <f>'ISS A15 PB BAN'!G30</f>
        <v>1.3175405908969925E-2</v>
      </c>
      <c r="D18" s="111">
        <f>'ISS A15 PB BAN'!H30</f>
        <v>1.2501712562792491E-2</v>
      </c>
      <c r="E18" s="111">
        <f>'ISS A15 PB PAR'!G30</f>
        <v>1.5755186222223924E-2</v>
      </c>
      <c r="F18" s="111">
        <f>'ISS A15 PB PAR'!H30</f>
        <v>1.2971329460836168E-2</v>
      </c>
      <c r="G18" s="111">
        <f>'IVR A15 PB BAN'!G30</f>
        <v>1.4379409074938398E-2</v>
      </c>
      <c r="H18" s="111">
        <f>'IVR A15 PB BAN'!H30</f>
        <v>1.1750369105204132E-2</v>
      </c>
      <c r="I18" s="111">
        <f>'IVR A15 PB PAR'!G30</f>
        <v>2.4532234167113084E-2</v>
      </c>
      <c r="J18" s="111">
        <f>'IVR A15 PB PAR'!H30</f>
        <v>2.2920388079160112E-2</v>
      </c>
      <c r="K18" s="111">
        <f>'ROM A15 PB BAN'!G30</f>
        <v>1.0041283597821639E-2</v>
      </c>
      <c r="L18" s="111">
        <f>'ROM A15 PB BAN'!H30</f>
        <v>8.9136340803184638E-3</v>
      </c>
      <c r="M18" s="111">
        <f>'ROM A15 PB PAR'!G30</f>
        <v>6.4773203070481499E-3</v>
      </c>
      <c r="N18" s="111">
        <f>'ROM A15 PB PAR'!H30</f>
        <v>5.5212834570949089E-3</v>
      </c>
      <c r="O18" s="111">
        <f>'STO A15 PB BAN'!G30</f>
        <v>1.5145548396699789E-2</v>
      </c>
      <c r="P18" s="111">
        <f>'STO A15 PB BAN'!H30</f>
        <v>1.4298263272971495E-2</v>
      </c>
      <c r="Q18" s="111">
        <f>'STO A15 PB PAR '!G30</f>
        <v>1.3721676387500782E-2</v>
      </c>
      <c r="R18" s="111">
        <f>'STO A15 PB PAR '!H30</f>
        <v>1.2990614297686751E-2</v>
      </c>
      <c r="S18" s="62">
        <f t="shared" si="0"/>
        <v>1.4153508007789462E-2</v>
      </c>
      <c r="T18" s="62">
        <f t="shared" si="1"/>
        <v>1.2733449289508064E-2</v>
      </c>
      <c r="U18" s="62">
        <f t="shared" si="2"/>
        <v>1.5121604270971487E-2</v>
      </c>
      <c r="V18" s="62">
        <f t="shared" si="9"/>
        <v>1.3600903823694485E-2</v>
      </c>
      <c r="W18" s="62">
        <f t="shared" si="3"/>
        <v>1.3185411744607439E-2</v>
      </c>
      <c r="X18" s="62">
        <f t="shared" si="4"/>
        <v>1.1865994755321647E-2</v>
      </c>
      <c r="Y18" s="232">
        <f t="shared" si="5"/>
        <v>0</v>
      </c>
      <c r="Z18" s="232">
        <f t="shared" si="6"/>
        <v>0</v>
      </c>
      <c r="AA18" s="31">
        <f t="shared" si="7"/>
        <v>5.5212834570949089E-3</v>
      </c>
      <c r="AB18" s="31">
        <f t="shared" si="8"/>
        <v>2.2920388079160112E-2</v>
      </c>
    </row>
    <row r="19" spans="1:28" x14ac:dyDescent="0.25">
      <c r="A19" s="402" t="s">
        <v>41</v>
      </c>
      <c r="B19" s="203" t="s">
        <v>42</v>
      </c>
      <c r="C19" s="176">
        <f>'ISS A15 PB BAN'!G31</f>
        <v>4.2397049317464564E-3</v>
      </c>
      <c r="D19" s="96">
        <f>'ISS A15 PB BAN'!H31</f>
        <v>4.973627615413507E-3</v>
      </c>
      <c r="E19" s="96">
        <f>'ISS A15 PB PAR'!G31</f>
        <v>9.5840254609325069E-3</v>
      </c>
      <c r="F19" s="96">
        <f>'ISS A15 PB PAR'!H31</f>
        <v>9.7943634833972445E-3</v>
      </c>
      <c r="G19" s="96">
        <f>'IVR A15 PB BAN'!G31</f>
        <v>4.3607947112281747E-3</v>
      </c>
      <c r="H19" s="96">
        <f>'IVR A15 PB BAN'!H31</f>
        <v>4.4038418497306343E-3</v>
      </c>
      <c r="I19" s="96">
        <f>'IVR A15 PB PAR'!G31</f>
        <v>1.2850866970082343E-2</v>
      </c>
      <c r="J19" s="96">
        <f>'IVR A15 PB PAR'!H31</f>
        <v>1.4900104020003111E-2</v>
      </c>
      <c r="K19" s="96">
        <f>'ROM A15 PB BAN'!G31</f>
        <v>2.3086607717983268E-3</v>
      </c>
      <c r="L19" s="96">
        <f>'ROM A15 PB BAN'!H31</f>
        <v>2.5315190358977013E-3</v>
      </c>
      <c r="M19" s="96">
        <f>'ROM A15 PB PAR'!G31</f>
        <v>6.3656664340544311E-3</v>
      </c>
      <c r="N19" s="96">
        <f>'ROM A15 PB PAR'!H31</f>
        <v>6.7046709898274234E-3</v>
      </c>
      <c r="O19" s="96">
        <f>'STO A15 PB BAN'!G31</f>
        <v>2.3614550989143373E-2</v>
      </c>
      <c r="P19" s="96">
        <f>'STO A15 PB BAN'!H31</f>
        <v>2.7554450108205404E-2</v>
      </c>
      <c r="Q19" s="96">
        <f>'STO A15 PB PAR '!G31</f>
        <v>7.8143160897425012E-4</v>
      </c>
      <c r="R19" s="96">
        <f>'STO A15 PB PAR '!H31</f>
        <v>9.1488939150222712E-4</v>
      </c>
      <c r="S19" s="60">
        <f t="shared" si="0"/>
        <v>8.0132127347449823E-3</v>
      </c>
      <c r="T19" s="60">
        <f t="shared" si="1"/>
        <v>8.9721833117471575E-3</v>
      </c>
      <c r="U19" s="60">
        <f t="shared" si="2"/>
        <v>7.3954976185108823E-3</v>
      </c>
      <c r="V19" s="60">
        <f t="shared" si="9"/>
        <v>8.0785069711825017E-3</v>
      </c>
      <c r="W19" s="60">
        <f t="shared" si="3"/>
        <v>8.6309278509790824E-3</v>
      </c>
      <c r="X19" s="60">
        <f t="shared" si="4"/>
        <v>9.8658596523118116E-3</v>
      </c>
      <c r="Y19" s="232">
        <f t="shared" si="5"/>
        <v>0</v>
      </c>
      <c r="Z19" s="232">
        <f t="shared" si="6"/>
        <v>0</v>
      </c>
      <c r="AA19" s="244">
        <f t="shared" si="7"/>
        <v>9.1488939150222712E-4</v>
      </c>
      <c r="AB19" s="244">
        <f t="shared" si="8"/>
        <v>2.7554450108205404E-2</v>
      </c>
    </row>
    <row r="20" spans="1:28" x14ac:dyDescent="0.25">
      <c r="A20" s="402"/>
      <c r="B20" s="203" t="s">
        <v>43</v>
      </c>
      <c r="C20" s="176">
        <f>'ISS A15 PB BAN'!G32</f>
        <v>4.4393322940035736E-2</v>
      </c>
      <c r="D20" s="96">
        <f>'ISS A15 PB BAN'!H32</f>
        <v>5.207811875332076E-2</v>
      </c>
      <c r="E20" s="96">
        <f>'ISS A15 PB PAR'!G32</f>
        <v>1.2255074077336994E-2</v>
      </c>
      <c r="F20" s="96">
        <f>'ISS A15 PB PAR'!H32</f>
        <v>1.2524032883539406E-2</v>
      </c>
      <c r="G20" s="96">
        <f>'IVR A15 PB BAN'!G32</f>
        <v>1.8463604807340103E-2</v>
      </c>
      <c r="H20" s="96">
        <f>'IVR A15 PB BAN'!H32</f>
        <v>1.8645866391759514E-2</v>
      </c>
      <c r="I20" s="96">
        <f>'IVR A15 PB PAR'!G32</f>
        <v>1.2747274915592932E-2</v>
      </c>
      <c r="J20" s="96">
        <f>'IVR A15 PB PAR'!H32</f>
        <v>1.4779992871772297E-2</v>
      </c>
      <c r="K20" s="96">
        <f>'ROM A15 PB BAN'!G32</f>
        <v>9.0692159044328691E-3</v>
      </c>
      <c r="L20" s="96">
        <f>'ROM A15 PB BAN'!H32</f>
        <v>9.9446800427306654E-3</v>
      </c>
      <c r="M20" s="96">
        <f>'ROM A15 PB PAR'!G32</f>
        <v>3.3175157013258915E-3</v>
      </c>
      <c r="N20" s="96">
        <f>'ROM A15 PB PAR'!H32</f>
        <v>3.4941905158561268E-3</v>
      </c>
      <c r="O20" s="96">
        <f>'STO A15 PB BAN'!G32</f>
        <v>2.9391634474381336E-2</v>
      </c>
      <c r="P20" s="96">
        <f>'STO A15 PB BAN'!H32</f>
        <v>3.4295393805932738E-2</v>
      </c>
      <c r="Q20" s="96">
        <f>'STO A15 PB PAR '!G32</f>
        <v>6.9606513068294542E-3</v>
      </c>
      <c r="R20" s="96">
        <f>'STO A15 PB PAR '!H32</f>
        <v>8.1494349159021914E-3</v>
      </c>
      <c r="S20" s="60">
        <f t="shared" si="0"/>
        <v>1.7074786765909417E-2</v>
      </c>
      <c r="T20" s="60">
        <f t="shared" si="1"/>
        <v>1.9238963772601713E-2</v>
      </c>
      <c r="U20" s="60">
        <f t="shared" si="2"/>
        <v>8.8201290002713189E-3</v>
      </c>
      <c r="V20" s="60">
        <f t="shared" si="9"/>
        <v>9.7369127967675065E-3</v>
      </c>
      <c r="W20" s="60">
        <f t="shared" si="3"/>
        <v>2.532944453154751E-2</v>
      </c>
      <c r="X20" s="60">
        <f t="shared" si="4"/>
        <v>2.874101474843592E-2</v>
      </c>
      <c r="Y20" s="232">
        <f t="shared" si="5"/>
        <v>0</v>
      </c>
      <c r="Z20" s="232">
        <f t="shared" si="6"/>
        <v>0</v>
      </c>
      <c r="AA20" s="244">
        <f t="shared" si="7"/>
        <v>3.4941905158561268E-3</v>
      </c>
      <c r="AB20" s="244">
        <f t="shared" si="8"/>
        <v>5.207811875332076E-2</v>
      </c>
    </row>
    <row r="21" spans="1:28" ht="25.5" x14ac:dyDescent="0.25">
      <c r="A21" s="402"/>
      <c r="B21" s="203" t="s">
        <v>44</v>
      </c>
      <c r="C21" s="176">
        <f>'ISS A15 PB BAN'!G33</f>
        <v>0</v>
      </c>
      <c r="D21" s="96">
        <f>'ISS A15 PB BAN'!H33</f>
        <v>0</v>
      </c>
      <c r="E21" s="240">
        <f>'ISS A15 PB PAR'!G33</f>
        <v>0</v>
      </c>
      <c r="F21" s="240">
        <f>'ISS A15 PB PAR'!H33</f>
        <v>0</v>
      </c>
      <c r="G21" s="240">
        <f>'IVR A15 PB BAN'!G33</f>
        <v>0</v>
      </c>
      <c r="H21" s="240">
        <f>'IVR A15 PB BAN'!H33</f>
        <v>0</v>
      </c>
      <c r="I21" s="240">
        <f>'IVR A15 PB PAR'!G33</f>
        <v>0</v>
      </c>
      <c r="J21" s="240">
        <f>'IVR A15 PB PAR'!H33</f>
        <v>0</v>
      </c>
      <c r="K21" s="240">
        <f>'ROM A15 PB BAN'!G33</f>
        <v>0</v>
      </c>
      <c r="L21" s="240">
        <f>'ROM A15 PB BAN'!H33</f>
        <v>0</v>
      </c>
      <c r="M21" s="240">
        <f>'ROM A15 PB PAR'!G33</f>
        <v>0</v>
      </c>
      <c r="N21" s="240">
        <f>'ROM A15 PB PAR'!H33</f>
        <v>0</v>
      </c>
      <c r="O21" s="240">
        <f>'STO A15 PB BAN'!G33</f>
        <v>0</v>
      </c>
      <c r="P21" s="240">
        <f>'STO A15 PB BAN'!H33</f>
        <v>0</v>
      </c>
      <c r="Q21" s="240">
        <f>'STO A15 PB PAR '!G33</f>
        <v>0</v>
      </c>
      <c r="R21" s="240">
        <f>'STO A15 PB PAR '!H33</f>
        <v>0</v>
      </c>
      <c r="S21" s="60">
        <f t="shared" si="0"/>
        <v>0</v>
      </c>
      <c r="T21" s="60">
        <f t="shared" si="1"/>
        <v>0</v>
      </c>
      <c r="U21" s="60">
        <f t="shared" si="2"/>
        <v>0</v>
      </c>
      <c r="V21" s="60">
        <f t="shared" si="9"/>
        <v>0</v>
      </c>
      <c r="W21" s="60">
        <f t="shared" si="3"/>
        <v>0</v>
      </c>
      <c r="X21" s="60">
        <f t="shared" si="4"/>
        <v>0</v>
      </c>
      <c r="Y21" s="232">
        <f t="shared" si="5"/>
        <v>0</v>
      </c>
      <c r="Z21" s="232">
        <f t="shared" si="6"/>
        <v>0</v>
      </c>
      <c r="AA21" s="244">
        <f t="shared" si="7"/>
        <v>0</v>
      </c>
      <c r="AB21" s="244">
        <f t="shared" si="8"/>
        <v>0</v>
      </c>
    </row>
    <row r="22" spans="1:28" x14ac:dyDescent="0.25">
      <c r="A22" s="402"/>
      <c r="B22" s="203" t="s">
        <v>120</v>
      </c>
      <c r="C22" s="176">
        <f>'ISS A15 PB BAN'!G34</f>
        <v>0</v>
      </c>
      <c r="D22" s="96">
        <f>'ISS A15 PB BAN'!H34</f>
        <v>0</v>
      </c>
      <c r="E22" s="96">
        <f>'ISS A15 PB PAR'!G34</f>
        <v>0</v>
      </c>
      <c r="F22" s="96">
        <f>'ISS A15 PB PAR'!H34</f>
        <v>0</v>
      </c>
      <c r="G22" s="96">
        <f>'IVR A15 PB BAN'!G34</f>
        <v>0</v>
      </c>
      <c r="H22" s="96">
        <f>'IVR A15 PB BAN'!H34</f>
        <v>0</v>
      </c>
      <c r="I22" s="96">
        <f>'IVR A15 PB PAR'!G34</f>
        <v>1.3344292282255648E-3</v>
      </c>
      <c r="J22" s="96">
        <f>'IVR A15 PB PAR'!H34</f>
        <v>1.5472212383944694E-3</v>
      </c>
      <c r="K22" s="96">
        <f>'ROM A15 PB BAN'!G34</f>
        <v>0</v>
      </c>
      <c r="L22" s="96">
        <f>'ROM A15 PB BAN'!H34</f>
        <v>0</v>
      </c>
      <c r="M22" s="96">
        <f>'ROM A15 PB PAR'!G34</f>
        <v>0</v>
      </c>
      <c r="N22" s="96">
        <f>'ROM A15 PB PAR'!H34</f>
        <v>0</v>
      </c>
      <c r="O22" s="96">
        <f>'STO A15 PB BAN'!G34</f>
        <v>0</v>
      </c>
      <c r="P22" s="96">
        <f>'STO A15 PB BAN'!H34</f>
        <v>0</v>
      </c>
      <c r="Q22" s="96">
        <f>'STO A15 PB PAR '!G34</f>
        <v>0</v>
      </c>
      <c r="R22" s="96">
        <f>'STO A15 PB PAR '!H34</f>
        <v>0</v>
      </c>
      <c r="S22" s="60">
        <f t="shared" si="0"/>
        <v>1.668036535281956E-4</v>
      </c>
      <c r="T22" s="60">
        <f t="shared" si="1"/>
        <v>1.9340265479930868E-4</v>
      </c>
      <c r="U22" s="60">
        <f t="shared" si="2"/>
        <v>3.336073070563912E-4</v>
      </c>
      <c r="V22" s="60">
        <f t="shared" si="9"/>
        <v>3.8680530959861735E-4</v>
      </c>
      <c r="W22" s="60">
        <f t="shared" si="3"/>
        <v>0</v>
      </c>
      <c r="X22" s="60">
        <f t="shared" si="4"/>
        <v>0</v>
      </c>
      <c r="Y22" s="232">
        <f t="shared" si="5"/>
        <v>0</v>
      </c>
      <c r="Z22" s="232">
        <f t="shared" si="6"/>
        <v>0</v>
      </c>
      <c r="AA22" s="244">
        <f t="shared" si="7"/>
        <v>0</v>
      </c>
      <c r="AB22" s="244">
        <f t="shared" si="8"/>
        <v>1.5472212383944694E-3</v>
      </c>
    </row>
    <row r="23" spans="1:28" x14ac:dyDescent="0.25">
      <c r="A23" s="204" t="s">
        <v>45</v>
      </c>
      <c r="B23" s="181" t="s">
        <v>46</v>
      </c>
      <c r="C23" s="174">
        <f>'ISS A15 PB BAN'!G35</f>
        <v>2.4620708011711474E-2</v>
      </c>
      <c r="D23" s="111">
        <f>'ISS A15 PB BAN'!H35</f>
        <v>2.2927546772241115E-2</v>
      </c>
      <c r="E23" s="111">
        <f>'ISS A15 PB PAR'!G35</f>
        <v>3.4028631632348628E-2</v>
      </c>
      <c r="F23" s="111">
        <f>'ISS A15 PB PAR'!H35</f>
        <v>2.7605271908570667E-2</v>
      </c>
      <c r="G23" s="111">
        <f>'IVR A15 PB BAN'!G35</f>
        <v>3.3578119276456968E-3</v>
      </c>
      <c r="H23" s="111">
        <f>'IVR A15 PB BAN'!H35</f>
        <v>2.6917940804430745E-3</v>
      </c>
      <c r="I23" s="111">
        <f>'IVR A15 PB PAR'!G35</f>
        <v>2.4878449717643511E-2</v>
      </c>
      <c r="J23" s="111">
        <f>'IVR A15 PB PAR'!H35</f>
        <v>2.2898110377078826E-2</v>
      </c>
      <c r="K23" s="111">
        <f>'ROM A15 PB BAN'!G35</f>
        <v>5.228718939704477E-2</v>
      </c>
      <c r="L23" s="111">
        <f>'ROM A15 PB BAN'!H35</f>
        <v>4.551304623056069E-2</v>
      </c>
      <c r="M23" s="111">
        <f>'ROM A15 PB PAR'!G35</f>
        <v>5.8340544312630825E-2</v>
      </c>
      <c r="N23" s="111">
        <f>'ROM A15 PB PAR'!H35</f>
        <v>4.877793547467757E-2</v>
      </c>
      <c r="O23" s="111">
        <f>'STO A15 PB BAN'!G35</f>
        <v>5.1187426085950907E-2</v>
      </c>
      <c r="P23" s="111">
        <f>'STO A15 PB BAN'!H35</f>
        <v>4.741274437674764E-2</v>
      </c>
      <c r="Q23" s="111">
        <f>'STO A15 PB PAR '!G35</f>
        <v>3.3545085977176946E-2</v>
      </c>
      <c r="R23" s="111">
        <f>'STO A15 PB PAR '!H35</f>
        <v>3.1176395978260558E-2</v>
      </c>
      <c r="S23" s="62">
        <f t="shared" si="0"/>
        <v>3.5280730882769097E-2</v>
      </c>
      <c r="T23" s="62">
        <f t="shared" si="1"/>
        <v>3.1125355649822516E-2</v>
      </c>
      <c r="U23" s="62">
        <f t="shared" si="2"/>
        <v>3.7698177909949976E-2</v>
      </c>
      <c r="V23" s="62">
        <f>AVERAGE(F23,J23,N23,R23)</f>
        <v>3.2614428434646903E-2</v>
      </c>
      <c r="W23" s="62">
        <f>AVERAGE(C23,G23,K23,O23)</f>
        <v>3.2863283855588211E-2</v>
      </c>
      <c r="X23" s="62">
        <f t="shared" si="4"/>
        <v>2.9636282864998129E-2</v>
      </c>
      <c r="Y23" s="232">
        <f t="shared" si="5"/>
        <v>0</v>
      </c>
      <c r="Z23" s="232">
        <f t="shared" si="6"/>
        <v>0</v>
      </c>
      <c r="AA23" s="31">
        <f t="shared" si="7"/>
        <v>2.6917940804430745E-3</v>
      </c>
      <c r="AB23" s="31">
        <f t="shared" si="8"/>
        <v>4.877793547467757E-2</v>
      </c>
    </row>
    <row r="24" spans="1:28" ht="25.5" x14ac:dyDescent="0.25">
      <c r="A24" s="402" t="s">
        <v>47</v>
      </c>
      <c r="B24" s="203" t="s">
        <v>48</v>
      </c>
      <c r="C24" s="176">
        <f>'ISS A15 PB BAN'!G36</f>
        <v>0.11990950226244342</v>
      </c>
      <c r="D24" s="96">
        <f>'ISS A15 PB BAN'!H36</f>
        <v>0.115205126711917</v>
      </c>
      <c r="E24" s="96">
        <f>'ISS A15 PB PAR'!G36</f>
        <v>0.12336150361821532</v>
      </c>
      <c r="F24" s="96">
        <f>'ISS A15 PB PAR'!H36</f>
        <v>0.10290730239299745</v>
      </c>
      <c r="G24" s="96">
        <f>'IVR A15 PB BAN'!G36</f>
        <v>6.2579895988816428E-2</v>
      </c>
      <c r="H24" s="96">
        <f>'IVR A15 PB BAN'!H36</f>
        <v>5.1984508467743058E-2</v>
      </c>
      <c r="I24" s="96">
        <f>'IVR A15 PB PAR'!G36</f>
        <v>8.8693881389823717E-2</v>
      </c>
      <c r="J24" s="96">
        <f>'IVR A15 PB PAR'!H36</f>
        <v>8.4313098387027968E-2</v>
      </c>
      <c r="K24" s="96">
        <f>'ROM A15 PB BAN'!G36</f>
        <v>2.8675508969178812E-2</v>
      </c>
      <c r="L24" s="96">
        <f>'ROM A15 PB BAN'!H36</f>
        <v>2.6021014280115259E-2</v>
      </c>
      <c r="M24" s="96">
        <f>'ROM A15 PB PAR'!G36</f>
        <v>4.1888346127006273E-2</v>
      </c>
      <c r="N24" s="96">
        <f>'ROM A15 PB PAR'!H36</f>
        <v>3.6258547074769693E-2</v>
      </c>
      <c r="O24" s="96">
        <f>'STO A15 PB BAN'!G36</f>
        <v>4.7678401947805926E-2</v>
      </c>
      <c r="P24" s="96">
        <f>'STO A15 PB BAN'!H36</f>
        <v>4.6082282851935955E-2</v>
      </c>
      <c r="Q24" s="96">
        <f>'STO A15 PB PAR '!G36</f>
        <v>4.8819118939144222E-2</v>
      </c>
      <c r="R24" s="96">
        <f>'STO A15 PB PAR '!H36</f>
        <v>4.6904006786279338E-2</v>
      </c>
      <c r="S24" s="60">
        <f t="shared" si="0"/>
        <v>7.0200769905304272E-2</v>
      </c>
      <c r="T24" s="60">
        <f t="shared" si="1"/>
        <v>6.370948586909822E-2</v>
      </c>
      <c r="U24" s="60">
        <f t="shared" si="2"/>
        <v>7.5690712518547379E-2</v>
      </c>
      <c r="V24" s="60">
        <f t="shared" si="9"/>
        <v>6.7595738660268606E-2</v>
      </c>
      <c r="W24" s="60">
        <f t="shared" si="3"/>
        <v>6.4710827292061152E-2</v>
      </c>
      <c r="X24" s="60">
        <f t="shared" si="4"/>
        <v>5.982323307792782E-2</v>
      </c>
      <c r="Y24" s="232">
        <f t="shared" si="5"/>
        <v>0</v>
      </c>
      <c r="Z24" s="232">
        <f t="shared" si="6"/>
        <v>0</v>
      </c>
      <c r="AA24" s="244">
        <f t="shared" si="7"/>
        <v>2.6021014280115259E-2</v>
      </c>
      <c r="AB24" s="244">
        <f t="shared" si="8"/>
        <v>0.115205126711917</v>
      </c>
    </row>
    <row r="25" spans="1:28" ht="25.5" x14ac:dyDescent="0.25">
      <c r="A25" s="402"/>
      <c r="B25" s="203" t="s">
        <v>49</v>
      </c>
      <c r="C25" s="176">
        <f>'ISS A15 PB BAN'!G37</f>
        <v>7.3824099775656876E-2</v>
      </c>
      <c r="D25" s="96">
        <f>'ISS A15 PB BAN'!H37</f>
        <v>7.0278948363445393E-2</v>
      </c>
      <c r="E25" s="96">
        <f>'ISS A15 PB PAR'!G37</f>
        <v>5.5069310647295165E-2</v>
      </c>
      <c r="F25" s="96">
        <f>'ISS A15 PB PAR'!H37</f>
        <v>4.5596581062163966E-2</v>
      </c>
      <c r="G25" s="96">
        <f>'IVR A15 PB BAN'!G37</f>
        <v>0.10479488067619727</v>
      </c>
      <c r="H25" s="96">
        <f>'IVR A15 PB BAN'!H37</f>
        <v>8.5914512925496692E-2</v>
      </c>
      <c r="I25" s="96">
        <f>'IVR A15 PB PAR'!G37</f>
        <v>5.5383583658080819E-2</v>
      </c>
      <c r="J25" s="96">
        <f>'IVR A15 PB PAR'!H37</f>
        <v>5.2115057307643181E-2</v>
      </c>
      <c r="K25" s="96">
        <f>'ROM A15 PB BAN'!G37</f>
        <v>3.8833421170775512E-2</v>
      </c>
      <c r="L25" s="96">
        <f>'ROM A15 PB BAN'!H37</f>
        <v>3.4506954901235121E-2</v>
      </c>
      <c r="M25" s="96">
        <f>'ROM A15 PB PAR'!G37</f>
        <v>6.249127704117232E-2</v>
      </c>
      <c r="N25" s="96">
        <f>'ROM A15 PB PAR'!H37</f>
        <v>5.3361501080706218E-2</v>
      </c>
      <c r="O25" s="96">
        <f>'STO A15 PB BAN'!G37</f>
        <v>4.6126117984016057E-2</v>
      </c>
      <c r="P25" s="96">
        <f>'STO A15 PB BAN'!H37</f>
        <v>4.3722626604447361E-2</v>
      </c>
      <c r="Q25" s="96">
        <f>'STO A15 PB PAR '!G37</f>
        <v>5.9391428942913493E-2</v>
      </c>
      <c r="R25" s="96">
        <f>'STO A15 PB PAR '!H37</f>
        <v>5.6435815152829999E-2</v>
      </c>
      <c r="S25" s="60">
        <f t="shared" si="0"/>
        <v>6.1989264987013439E-2</v>
      </c>
      <c r="T25" s="60">
        <f t="shared" si="1"/>
        <v>5.5241499674745981E-2</v>
      </c>
      <c r="U25" s="60">
        <f t="shared" si="2"/>
        <v>5.8083900072365448E-2</v>
      </c>
      <c r="V25" s="60">
        <f t="shared" si="9"/>
        <v>5.1877238650835843E-2</v>
      </c>
      <c r="W25" s="60">
        <f t="shared" si="3"/>
        <v>6.5894629901661422E-2</v>
      </c>
      <c r="X25" s="60">
        <f t="shared" si="4"/>
        <v>5.860576069865614E-2</v>
      </c>
      <c r="Y25" s="232">
        <f t="shared" si="5"/>
        <v>0</v>
      </c>
      <c r="Z25" s="232">
        <f t="shared" si="6"/>
        <v>0</v>
      </c>
      <c r="AA25" s="244">
        <f t="shared" si="7"/>
        <v>3.4506954901235121E-2</v>
      </c>
      <c r="AB25" s="244">
        <f t="shared" si="8"/>
        <v>8.5914512925496692E-2</v>
      </c>
    </row>
    <row r="26" spans="1:28" x14ac:dyDescent="0.25">
      <c r="A26" s="403" t="s">
        <v>50</v>
      </c>
      <c r="B26" s="181" t="s">
        <v>51</v>
      </c>
      <c r="C26" s="174">
        <f>'ISS A15 PB BAN'!G38</f>
        <v>7.5421118673713816E-2</v>
      </c>
      <c r="D26" s="111">
        <f>'ISS A15 PB BAN'!H38</f>
        <v>8.1328198495783682E-2</v>
      </c>
      <c r="E26" s="111">
        <f>'ISS A15 PB PAR'!G38</f>
        <v>0.10658956546090693</v>
      </c>
      <c r="F26" s="111">
        <f>'ISS A15 PB PAR'!H38</f>
        <v>9.9098175480752851E-2</v>
      </c>
      <c r="G26" s="111">
        <f>'IVR A15 PB BAN'!G38</f>
        <v>8.3611385910396865E-2</v>
      </c>
      <c r="H26" s="111">
        <f>'IVR A15 PB BAN'!H38</f>
        <v>7.6392626748975206E-2</v>
      </c>
      <c r="I26" s="111">
        <f>'IVR A15 PB PAR'!G38</f>
        <v>9.2935703410495785E-2</v>
      </c>
      <c r="J26" s="111">
        <f>'IVR A15 PB PAR'!H38</f>
        <v>9.9137682297986057E-2</v>
      </c>
      <c r="K26" s="111">
        <f>'ROM A15 PB BAN'!G38</f>
        <v>8.0759208291854553E-2</v>
      </c>
      <c r="L26" s="111">
        <f>'ROM A15 PB BAN'!H38</f>
        <v>8.0507493593101082E-2</v>
      </c>
      <c r="M26" s="111">
        <f>'ROM A15 PB PAR'!G38</f>
        <v>6.5706908583391468E-2</v>
      </c>
      <c r="N26" s="111">
        <f>'ROM A15 PB PAR'!H38</f>
        <v>6.3344416672417705E-2</v>
      </c>
      <c r="O26" s="111">
        <f>'STO A15 PB BAN'!G38</f>
        <v>9.8153502170373247E-2</v>
      </c>
      <c r="P26" s="111">
        <f>'STO A15 PB BAN'!H38</f>
        <v>0.10458001468601263</v>
      </c>
      <c r="Q26" s="111">
        <f>'STO A15 PB PAR '!G38</f>
        <v>7.5327380444247152E-2</v>
      </c>
      <c r="R26" s="111">
        <f>'STO A15 PB PAR '!H38</f>
        <v>8.0609040254068343E-2</v>
      </c>
      <c r="S26" s="62">
        <f t="shared" si="0"/>
        <v>8.4813096618172476E-2</v>
      </c>
      <c r="T26" s="62">
        <f t="shared" si="1"/>
        <v>8.5624706028637185E-2</v>
      </c>
      <c r="U26" s="62">
        <f t="shared" si="2"/>
        <v>8.5139889474760325E-2</v>
      </c>
      <c r="V26" s="62">
        <f t="shared" si="9"/>
        <v>8.5547328676306239E-2</v>
      </c>
      <c r="W26" s="62">
        <f t="shared" si="3"/>
        <v>8.4486303761584614E-2</v>
      </c>
      <c r="X26" s="62">
        <f t="shared" si="4"/>
        <v>8.5702083380968158E-2</v>
      </c>
      <c r="Y26" s="232">
        <f t="shared" si="5"/>
        <v>0</v>
      </c>
      <c r="Z26" s="232">
        <f t="shared" si="6"/>
        <v>0</v>
      </c>
      <c r="AA26" s="31">
        <f t="shared" si="7"/>
        <v>6.3344416672417705E-2</v>
      </c>
      <c r="AB26" s="31">
        <f t="shared" si="8"/>
        <v>0.10458001468601263</v>
      </c>
    </row>
    <row r="27" spans="1:28" x14ac:dyDescent="0.25">
      <c r="A27" s="403"/>
      <c r="B27" s="181" t="s">
        <v>52</v>
      </c>
      <c r="C27" s="174">
        <f>'ISS A15 PB BAN'!G39</f>
        <v>3.9659302635081189E-2</v>
      </c>
      <c r="D27" s="111">
        <f>'ISS A15 PB BAN'!H39</f>
        <v>3.823706462326501E-2</v>
      </c>
      <c r="E27" s="111">
        <f>'ISS A15 PB PAR'!G39</f>
        <v>3.0183785679417135E-2</v>
      </c>
      <c r="F27" s="111">
        <f>'ISS A15 PB PAR'!H39</f>
        <v>2.5094192957901607E-2</v>
      </c>
      <c r="G27" s="111">
        <f>'IVR A15 PB BAN'!G39</f>
        <v>1.4087858799959142E-2</v>
      </c>
      <c r="H27" s="111">
        <f>'IVR A15 PB BAN'!H39</f>
        <v>1.150508259663529E-2</v>
      </c>
      <c r="I27" s="111">
        <f>'IVR A15 PB PAR'!G39</f>
        <v>3.0199809990363233E-2</v>
      </c>
      <c r="J27" s="111">
        <f>'IVR A15 PB PAR'!H39</f>
        <v>2.8801744013054541E-2</v>
      </c>
      <c r="K27" s="111">
        <f>'ROM A15 PB BAN'!G39</f>
        <v>2.1584587456813267E-2</v>
      </c>
      <c r="L27" s="111">
        <f>'ROM A15 PB BAN'!H39</f>
        <v>1.9221285255991146E-2</v>
      </c>
      <c r="M27" s="111">
        <f>'ROM A15 PB PAR'!G39</f>
        <v>2.3542219120725748E-2</v>
      </c>
      <c r="N27" s="111">
        <f>'ROM A15 PB PAR'!H39</f>
        <v>2.0285620377265948E-2</v>
      </c>
      <c r="O27" s="111">
        <f>'STO A15 PB BAN'!G39</f>
        <v>5.1957962597976602E-2</v>
      </c>
      <c r="P27" s="111">
        <f>'STO A15 PB BAN'!H39</f>
        <v>4.9458500506806377E-2</v>
      </c>
      <c r="Q27" s="111">
        <f>'STO A15 PB PAR '!G39</f>
        <v>2.6032835887542155E-2</v>
      </c>
      <c r="R27" s="111">
        <f>'STO A15 PB PAR '!H39</f>
        <v>2.4904757979417252E-2</v>
      </c>
      <c r="S27" s="62">
        <f t="shared" si="0"/>
        <v>2.965604527098481E-2</v>
      </c>
      <c r="T27" s="62">
        <f t="shared" si="1"/>
        <v>2.7188531038792148E-2</v>
      </c>
      <c r="U27" s="62">
        <f t="shared" si="2"/>
        <v>2.7489662669512069E-2</v>
      </c>
      <c r="V27" s="62">
        <f t="shared" si="9"/>
        <v>2.4771578831909839E-2</v>
      </c>
      <c r="W27" s="62">
        <f t="shared" si="3"/>
        <v>3.1822427872457551E-2</v>
      </c>
      <c r="X27" s="62">
        <f t="shared" si="4"/>
        <v>2.9605483245674455E-2</v>
      </c>
      <c r="Y27" s="232">
        <f t="shared" si="5"/>
        <v>0</v>
      </c>
      <c r="Z27" s="232">
        <f t="shared" si="6"/>
        <v>0</v>
      </c>
      <c r="AA27" s="31">
        <f t="shared" si="7"/>
        <v>1.150508259663529E-2</v>
      </c>
      <c r="AB27" s="31">
        <f t="shared" si="8"/>
        <v>4.9458500506806377E-2</v>
      </c>
    </row>
    <row r="28" spans="1:28" ht="25.5" x14ac:dyDescent="0.25">
      <c r="A28" s="403"/>
      <c r="B28" s="181" t="s">
        <v>53</v>
      </c>
      <c r="C28" s="174">
        <f>'ISS A15 PB BAN'!G40</f>
        <v>5.5705540134605904E-3</v>
      </c>
      <c r="D28" s="111">
        <f>'ISS A15 PB BAN'!H40</f>
        <v>5.3701875192786108E-3</v>
      </c>
      <c r="E28" s="111">
        <f>'ISS A15 PB PAR'!G40</f>
        <v>2.0403134268711077E-3</v>
      </c>
      <c r="F28" s="111">
        <f>'ISS A15 PB PAR'!H40</f>
        <v>1.6961221416387042E-3</v>
      </c>
      <c r="G28" s="111">
        <f>'IVR A15 PB BAN'!G40</f>
        <v>0</v>
      </c>
      <c r="H28" s="111">
        <f>'IVR A15 PB BAN'!H40</f>
        <v>0</v>
      </c>
      <c r="I28" s="111">
        <f>'IVR A15 PB PAR'!G40</f>
        <v>1.9385344723007132E-2</v>
      </c>
      <c r="J28" s="111">
        <f>'IVR A15 PB PAR'!H40</f>
        <v>1.8485638465398829E-2</v>
      </c>
      <c r="K28" s="111">
        <f>'ROM A15 PB BAN'!G40</f>
        <v>5.2248638519646323E-3</v>
      </c>
      <c r="L28" s="111">
        <f>'ROM A15 PB BAN'!H40</f>
        <v>4.6515959860163924E-3</v>
      </c>
      <c r="M28" s="111">
        <f>'ROM A15 PB PAR'!G40</f>
        <v>6.9685973482205166E-3</v>
      </c>
      <c r="N28" s="111">
        <f>'ROM A15 PB PAR'!H40</f>
        <v>6.0036356129572069E-3</v>
      </c>
      <c r="O28" s="111">
        <f>'STO A15 PB BAN'!G40</f>
        <v>8.1443165300175303E-3</v>
      </c>
      <c r="P28" s="111">
        <f>'STO A15 PB BAN'!H40</f>
        <v>7.7506839511415626E-3</v>
      </c>
      <c r="Q28" s="111">
        <f>'STO A15 PB PAR '!G40</f>
        <v>8.9700468727632373E-3</v>
      </c>
      <c r="R28" s="111">
        <f>'STO A15 PB PAR '!H40</f>
        <v>8.5801993256409623E-3</v>
      </c>
      <c r="S28" s="62">
        <f t="shared" si="0"/>
        <v>7.038004595788093E-3</v>
      </c>
      <c r="T28" s="62">
        <f t="shared" si="1"/>
        <v>6.5672578752590336E-3</v>
      </c>
      <c r="U28" s="62">
        <f t="shared" si="2"/>
        <v>9.341075592715499E-3</v>
      </c>
      <c r="V28" s="62">
        <f t="shared" si="9"/>
        <v>8.6913988864089249E-3</v>
      </c>
      <c r="W28" s="62">
        <f t="shared" si="3"/>
        <v>4.7349335988606887E-3</v>
      </c>
      <c r="X28" s="62">
        <f t="shared" si="4"/>
        <v>4.4431168641091414E-3</v>
      </c>
      <c r="Y28" s="232">
        <f t="shared" si="5"/>
        <v>0</v>
      </c>
      <c r="Z28" s="232">
        <f t="shared" si="6"/>
        <v>0</v>
      </c>
      <c r="AA28" s="31">
        <f t="shared" si="7"/>
        <v>0</v>
      </c>
      <c r="AB28" s="31">
        <f t="shared" si="8"/>
        <v>1.8485638465398829E-2</v>
      </c>
    </row>
    <row r="29" spans="1:28" x14ac:dyDescent="0.25">
      <c r="A29" s="403"/>
      <c r="B29" s="181" t="s">
        <v>54</v>
      </c>
      <c r="C29" s="174">
        <f>'ISS A15 PB BAN'!G41</f>
        <v>5.5952697821209915E-2</v>
      </c>
      <c r="D29" s="111">
        <f>'ISS A15 PB BAN'!H41</f>
        <v>6.0313705257015432E-2</v>
      </c>
      <c r="E29" s="111">
        <f>'ISS A15 PB PAR'!G41</f>
        <v>1.6575737804828749E-2</v>
      </c>
      <c r="F29" s="111">
        <f>'ISS A15 PB PAR'!H41</f>
        <v>1.5406340246889425E-2</v>
      </c>
      <c r="G29" s="111">
        <f>'IVR A15 PB BAN'!G41</f>
        <v>3.6572116331051591E-2</v>
      </c>
      <c r="H29" s="111">
        <f>'IVR A15 PB BAN'!H41</f>
        <v>3.3397666806442856E-2</v>
      </c>
      <c r="I29" s="111">
        <f>'IVR A15 PB PAR'!G41</f>
        <v>3.2210313679467126E-2</v>
      </c>
      <c r="J29" s="111">
        <f>'IVR A15 PB PAR'!H41</f>
        <v>3.4346410246908106E-2</v>
      </c>
      <c r="K29" s="111">
        <f>'ROM A15 PB BAN'!G41</f>
        <v>3.3171322051101869E-2</v>
      </c>
      <c r="L29" s="111">
        <f>'ROM A15 PB BAN'!H41</f>
        <v>3.3041056234296054E-2</v>
      </c>
      <c r="M29" s="111">
        <f>'ROM A15 PB PAR'!G41</f>
        <v>4.3034193998604309E-2</v>
      </c>
      <c r="N29" s="111">
        <f>'ROM A15 PB PAR'!H41</f>
        <v>4.1465162064059952E-2</v>
      </c>
      <c r="O29" s="111">
        <f>'STO A15 PB BAN'!G41</f>
        <v>2.5795509958268147E-2</v>
      </c>
      <c r="P29" s="111">
        <f>'STO A15 PB BAN'!H41</f>
        <v>2.7463750698119425E-2</v>
      </c>
      <c r="Q29" s="111">
        <f>'STO A15 PB PAR '!G41</f>
        <v>4.4705768015938584E-2</v>
      </c>
      <c r="R29" s="111">
        <f>'STO A15 PB PAR '!H41</f>
        <v>4.7820084915017561E-2</v>
      </c>
      <c r="S29" s="62">
        <f t="shared" si="0"/>
        <v>3.6002207457558784E-2</v>
      </c>
      <c r="T29" s="62">
        <f t="shared" si="1"/>
        <v>3.6656772058593599E-2</v>
      </c>
      <c r="U29" s="62">
        <f>AVERAGE(E29,I29,M29,Q29)</f>
        <v>3.4131503374709694E-2</v>
      </c>
      <c r="V29" s="62">
        <f t="shared" si="9"/>
        <v>3.475949936821876E-2</v>
      </c>
      <c r="W29" s="62">
        <f t="shared" si="3"/>
        <v>3.787291154040788E-2</v>
      </c>
      <c r="X29" s="62">
        <f t="shared" si="4"/>
        <v>3.8554044748968445E-2</v>
      </c>
      <c r="Y29" s="232">
        <f t="shared" si="5"/>
        <v>0</v>
      </c>
      <c r="Z29" s="232">
        <f t="shared" si="6"/>
        <v>0</v>
      </c>
      <c r="AA29" s="31">
        <f t="shared" si="7"/>
        <v>1.5406340246889425E-2</v>
      </c>
      <c r="AB29" s="31">
        <f t="shared" si="8"/>
        <v>6.0313705257015432E-2</v>
      </c>
    </row>
    <row r="30" spans="1:28" x14ac:dyDescent="0.25">
      <c r="A30" s="403"/>
      <c r="B30" s="181" t="s">
        <v>55</v>
      </c>
      <c r="C30" s="174">
        <f>'ISS A15 PB BAN'!G42</f>
        <v>1.0893950340317125E-2</v>
      </c>
      <c r="D30" s="111">
        <f>'ISS A15 PB BAN'!H42</f>
        <v>1.1743876860180556E-2</v>
      </c>
      <c r="E30" s="111">
        <f>'ISS A15 PB PAR'!G42</f>
        <v>6.3850234014672047E-2</v>
      </c>
      <c r="F30" s="111">
        <f>'ISS A15 PB PAR'!H42</f>
        <v>5.9349131473757512E-2</v>
      </c>
      <c r="G30" s="111">
        <f>'IVR A15 PB BAN'!G42</f>
        <v>1.6275731803649621E-2</v>
      </c>
      <c r="H30" s="111">
        <f>'IVR A15 PB BAN'!H42</f>
        <v>1.4864532237809308E-2</v>
      </c>
      <c r="I30" s="111">
        <f>'IVR A15 PB PAR'!G42</f>
        <v>2.4273254030889514E-2</v>
      </c>
      <c r="J30" s="111">
        <f>'IVR A15 PB PAR'!H42</f>
        <v>2.5885042671139443E-2</v>
      </c>
      <c r="K30" s="111">
        <f>'ROM A15 PB BAN'!G42</f>
        <v>5.7069450137611999E-2</v>
      </c>
      <c r="L30" s="111">
        <f>'ROM A15 PB BAN'!H42</f>
        <v>5.6854725669848262E-2</v>
      </c>
      <c r="M30" s="111">
        <f>'ROM A15 PB PAR'!G42</f>
        <v>1.2333565945568739E-2</v>
      </c>
      <c r="N30" s="111">
        <f>'ROM A15 PB PAR'!H42</f>
        <v>1.1885147911476959E-2</v>
      </c>
      <c r="O30" s="111">
        <f>'STO A15 PB BAN'!G42</f>
        <v>0.15990163348997455</v>
      </c>
      <c r="P30" s="111">
        <f>'STO A15 PB BAN'!H42</f>
        <v>0.17026880851973428</v>
      </c>
      <c r="Q30" s="111">
        <f>'STO A15 PB PAR '!G42</f>
        <v>3.051391933261802E-2</v>
      </c>
      <c r="R30" s="111">
        <f>'STO A15 PB PAR '!H42</f>
        <v>3.2642406846892694E-2</v>
      </c>
      <c r="S30" s="62">
        <f t="shared" si="0"/>
        <v>4.6888967386912707E-2</v>
      </c>
      <c r="T30" s="62">
        <f t="shared" si="1"/>
        <v>4.7936709023854877E-2</v>
      </c>
      <c r="U30" s="62">
        <f t="shared" si="2"/>
        <v>3.2742743330937081E-2</v>
      </c>
      <c r="V30" s="62">
        <f t="shared" si="9"/>
        <v>3.2440432225816648E-2</v>
      </c>
      <c r="W30" s="62">
        <f t="shared" si="3"/>
        <v>6.1035191442888326E-2</v>
      </c>
      <c r="X30" s="62">
        <f t="shared" si="4"/>
        <v>6.3432985821893106E-2</v>
      </c>
      <c r="Y30" s="232">
        <f t="shared" si="5"/>
        <v>0</v>
      </c>
      <c r="Z30" s="232">
        <f t="shared" si="6"/>
        <v>0</v>
      </c>
      <c r="AA30" s="31">
        <f t="shared" si="7"/>
        <v>1.1743876860180556E-2</v>
      </c>
      <c r="AB30" s="31">
        <f t="shared" si="8"/>
        <v>0.17026880851973428</v>
      </c>
    </row>
    <row r="31" spans="1:28" x14ac:dyDescent="0.25">
      <c r="A31" s="205" t="s">
        <v>127</v>
      </c>
      <c r="B31" s="203" t="s">
        <v>56</v>
      </c>
      <c r="C31" s="176">
        <f>'ISS A15 PB BAN'!G43</f>
        <v>2.3784174303205449E-2</v>
      </c>
      <c r="D31" s="96">
        <f>'ISS A15 PB BAN'!H43</f>
        <v>2.2618274307910601E-2</v>
      </c>
      <c r="E31" s="96">
        <f>'ISS A15 PB PAR'!G43</f>
        <v>1.4450304919181209E-2</v>
      </c>
      <c r="F31" s="96">
        <f>'ISS A15 PB PAR'!H43</f>
        <v>1.1970669047025923E-2</v>
      </c>
      <c r="G31" s="96">
        <f>'IVR A15 PB BAN'!G43</f>
        <v>4.328524830365086E-2</v>
      </c>
      <c r="H31" s="96">
        <f>'IVR A15 PB BAN'!H43</f>
        <v>3.5435306556547176E-2</v>
      </c>
      <c r="I31" s="96">
        <f>'IVR A15 PB PAR'!G43</f>
        <v>7.9466010220174098E-3</v>
      </c>
      <c r="J31" s="96">
        <f>'IVR A15 PB PAR'!H43</f>
        <v>7.4692748602863878E-3</v>
      </c>
      <c r="K31" s="96">
        <f>'ROM A15 PB BAN'!G43</f>
        <v>1.5387655911459866E-2</v>
      </c>
      <c r="L31" s="96">
        <f>'ROM A15 PB BAN'!H43</f>
        <v>1.3678717373608975E-2</v>
      </c>
      <c r="M31" s="96">
        <f>'ROM A15 PB PAR'!G43</f>
        <v>4.2147941381716666E-2</v>
      </c>
      <c r="N31" s="96">
        <f>'ROM A15 PB PAR'!H43</f>
        <v>3.5985901301680202E-2</v>
      </c>
      <c r="O31" s="96">
        <f>'STO A15 PB BAN'!G43</f>
        <v>2.8468025515926358E-2</v>
      </c>
      <c r="P31" s="96">
        <f>'STO A15 PB BAN'!H43</f>
        <v>2.6931131873929651E-2</v>
      </c>
      <c r="Q31" s="96">
        <f>'STO A15 PB PAR '!G43</f>
        <v>4.265171921520626E-2</v>
      </c>
      <c r="R31" s="96">
        <f>'STO A15 PB PAR '!H43</f>
        <v>4.0480184319202729E-2</v>
      </c>
      <c r="S31" s="60">
        <f t="shared" si="0"/>
        <v>2.7265208821545511E-2</v>
      </c>
      <c r="T31" s="60">
        <f t="shared" si="1"/>
        <v>2.4321182455023953E-2</v>
      </c>
      <c r="U31" s="60">
        <f t="shared" si="2"/>
        <v>2.6799141634530389E-2</v>
      </c>
      <c r="V31" s="60">
        <f t="shared" si="9"/>
        <v>2.397650738204881E-2</v>
      </c>
      <c r="W31" s="60">
        <f t="shared" si="3"/>
        <v>2.7731276008560631E-2</v>
      </c>
      <c r="X31" s="60">
        <f t="shared" si="4"/>
        <v>2.4665857527999099E-2</v>
      </c>
      <c r="Y31" s="232">
        <f t="shared" si="5"/>
        <v>0</v>
      </c>
      <c r="Z31" s="232">
        <f t="shared" si="6"/>
        <v>0</v>
      </c>
      <c r="AA31" s="244">
        <f t="shared" si="7"/>
        <v>7.4692748602863878E-3</v>
      </c>
      <c r="AB31" s="244">
        <f t="shared" si="8"/>
        <v>4.0480184319202729E-2</v>
      </c>
    </row>
    <row r="32" spans="1:28" ht="25.5" x14ac:dyDescent="0.25">
      <c r="A32" s="403" t="s">
        <v>57</v>
      </c>
      <c r="B32" s="181" t="s">
        <v>58</v>
      </c>
      <c r="C32" s="174">
        <f>'ISS A15 PB BAN'!G44</f>
        <v>5.3405072436214306E-2</v>
      </c>
      <c r="D32" s="111">
        <f>'ISS A15 PB BAN'!H44</f>
        <v>4.967661391665705E-2</v>
      </c>
      <c r="E32" s="111">
        <f>'ISS A15 PB PAR'!G44</f>
        <v>8.4257624256321925E-2</v>
      </c>
      <c r="F32" s="111">
        <f>'ISS A15 PB PAR'!H44</f>
        <v>6.8299886284271472E-2</v>
      </c>
      <c r="G32" s="111">
        <f>'IVR A15 PB BAN'!G44</f>
        <v>2.3548291440632141E-2</v>
      </c>
      <c r="H32" s="111">
        <f>'IVR A15 PB BAN'!H44</f>
        <v>1.8857462451974172E-2</v>
      </c>
      <c r="I32" s="111">
        <f>'IVR A15 PB PAR'!G44</f>
        <v>0.16221425290364441</v>
      </c>
      <c r="J32" s="111">
        <f>'IVR A15 PB PAR'!H44</f>
        <v>0.14911827258185614</v>
      </c>
      <c r="K32" s="111">
        <f>'ROM A15 PB BAN'!G44</f>
        <v>8.5696648513595305E-2</v>
      </c>
      <c r="L32" s="111">
        <f>'ROM A15 PB BAN'!H44</f>
        <v>7.448768153124051E-2</v>
      </c>
      <c r="M32" s="111">
        <f>'ROM A15 PB PAR'!G44</f>
        <v>4.5888346127006284E-2</v>
      </c>
      <c r="N32" s="111">
        <f>'ROM A15 PB PAR'!H44</f>
        <v>3.8331050670843476E-2</v>
      </c>
      <c r="O32" s="111">
        <f>'STO A15 PB BAN'!G44</f>
        <v>7.9686497281153068E-2</v>
      </c>
      <c r="P32" s="111">
        <f>'STO A15 PB BAN'!H44</f>
        <v>7.3663453865790596E-2</v>
      </c>
      <c r="Q32" s="111">
        <f>'STO A15 PB PAR '!G44</f>
        <v>6.2375315691803379E-2</v>
      </c>
      <c r="R32" s="111">
        <f>'STO A15 PB PAR '!H44</f>
        <v>5.7911118368139211E-2</v>
      </c>
      <c r="S32" s="62">
        <f t="shared" si="0"/>
        <v>7.4634006081296361E-2</v>
      </c>
      <c r="T32" s="62">
        <f t="shared" si="1"/>
        <v>6.6293192458846587E-2</v>
      </c>
      <c r="U32" s="62">
        <f t="shared" si="2"/>
        <v>8.8683884744693992E-2</v>
      </c>
      <c r="V32" s="62">
        <f t="shared" si="9"/>
        <v>7.8415081976277584E-2</v>
      </c>
      <c r="W32" s="62">
        <f t="shared" si="3"/>
        <v>6.0584127417898703E-2</v>
      </c>
      <c r="X32" s="62">
        <f t="shared" si="4"/>
        <v>5.4171302941415582E-2</v>
      </c>
      <c r="Y32" s="232">
        <f t="shared" si="5"/>
        <v>0</v>
      </c>
      <c r="Z32" s="232">
        <f t="shared" si="6"/>
        <v>0</v>
      </c>
      <c r="AA32" s="31">
        <f t="shared" si="7"/>
        <v>1.8857462451974172E-2</v>
      </c>
      <c r="AB32" s="31">
        <f t="shared" si="8"/>
        <v>0.14911827258185614</v>
      </c>
    </row>
    <row r="33" spans="1:28" x14ac:dyDescent="0.25">
      <c r="A33" s="403"/>
      <c r="B33" s="181" t="s">
        <v>59</v>
      </c>
      <c r="C33" s="174">
        <f>'ISS A15 PB BAN'!G45</f>
        <v>1.2357884330202677E-3</v>
      </c>
      <c r="D33" s="111">
        <f>'ISS A15 PB BAN'!H45</f>
        <v>1.1495122479824528E-3</v>
      </c>
      <c r="E33" s="111">
        <f>'ISS A15 PB PAR'!G45</f>
        <v>1.3985552674261886E-2</v>
      </c>
      <c r="F33" s="111">
        <f>'ISS A15 PB PAR'!H45</f>
        <v>1.1336797894620262E-2</v>
      </c>
      <c r="G33" s="111">
        <f>'IVR A15 PB BAN'!G45</f>
        <v>1.5528166996010501E-2</v>
      </c>
      <c r="H33" s="111">
        <f>'IVR A15 PB BAN'!H45</f>
        <v>1.2434949975606041E-2</v>
      </c>
      <c r="I33" s="111">
        <f>'IVR A15 PB PAR'!G45</f>
        <v>1.4636466856676316E-2</v>
      </c>
      <c r="J33" s="111">
        <f>'IVR A15 PB PAR'!H45</f>
        <v>1.3454826658577343E-2</v>
      </c>
      <c r="K33" s="111">
        <f>'ROM A15 PB BAN'!G45</f>
        <v>2.0675469930315642E-2</v>
      </c>
      <c r="L33" s="111">
        <f>'ROM A15 PB BAN'!H45</f>
        <v>1.7971155773189515E-2</v>
      </c>
      <c r="M33" s="111">
        <f>'ROM A15 PB PAR'!G45</f>
        <v>9.0956036287508733E-3</v>
      </c>
      <c r="N33" s="111">
        <f>'ROM A15 PB PAR'!H45</f>
        <v>7.5976598200032533E-3</v>
      </c>
      <c r="O33" s="111">
        <f>'STO A15 PB BAN'!G45</f>
        <v>8.9730636906853491E-4</v>
      </c>
      <c r="P33" s="111">
        <f>'STO A15 PB BAN'!H45</f>
        <v>8.2948414821331739E-4</v>
      </c>
      <c r="Q33" s="111">
        <f>'STO A15 PB PAR '!G45</f>
        <v>0</v>
      </c>
      <c r="R33" s="111">
        <f>'STO A15 PB PAR '!H45</f>
        <v>0</v>
      </c>
      <c r="S33" s="62">
        <f t="shared" si="0"/>
        <v>9.5067943610130032E-3</v>
      </c>
      <c r="T33" s="62">
        <f t="shared" si="1"/>
        <v>8.0967983147740234E-3</v>
      </c>
      <c r="U33" s="62">
        <f t="shared" si="2"/>
        <v>9.4294057899222683E-3</v>
      </c>
      <c r="V33" s="62">
        <f t="shared" si="9"/>
        <v>8.0973210933002141E-3</v>
      </c>
      <c r="W33" s="62">
        <f t="shared" si="3"/>
        <v>9.5841829321037363E-3</v>
      </c>
      <c r="X33" s="62">
        <f t="shared" si="4"/>
        <v>8.0962755362478309E-3</v>
      </c>
      <c r="Y33" s="232">
        <f t="shared" si="5"/>
        <v>0</v>
      </c>
      <c r="Z33" s="232">
        <f t="shared" si="6"/>
        <v>0</v>
      </c>
      <c r="AA33" s="31">
        <f t="shared" si="7"/>
        <v>0</v>
      </c>
      <c r="AB33" s="31">
        <f t="shared" si="8"/>
        <v>1.7971155773189515E-2</v>
      </c>
    </row>
    <row r="34" spans="1:28" ht="25.5" x14ac:dyDescent="0.25">
      <c r="A34" s="402" t="s">
        <v>60</v>
      </c>
      <c r="B34" s="203" t="s">
        <v>61</v>
      </c>
      <c r="C34" s="176">
        <f>'ISS A15 PB BAN'!G46</f>
        <v>1.1312217194570137E-2</v>
      </c>
      <c r="D34" s="96">
        <f>'ISS A15 PB BAN'!H46</f>
        <v>1.086466722078196E-2</v>
      </c>
      <c r="E34" s="96">
        <f>'ISS A15 PB PAR'!G46</f>
        <v>8.2267956907422859E-4</v>
      </c>
      <c r="F34" s="96">
        <f>'ISS A15 PB PAR'!H46</f>
        <v>6.8843305161840097E-4</v>
      </c>
      <c r="G34" s="96">
        <f>'IVR A15 PB BAN'!G46</f>
        <v>5.5203923220110494E-2</v>
      </c>
      <c r="H34" s="96">
        <f>'IVR A15 PB BAN'!H46</f>
        <v>4.5643549754360059E-2</v>
      </c>
      <c r="I34" s="96">
        <f>'IVR A15 PB PAR'!G46</f>
        <v>1.6820078321045422E-2</v>
      </c>
      <c r="J34" s="96">
        <f>'IVR A15 PB PAR'!H46</f>
        <v>1.5965909150293191E-2</v>
      </c>
      <c r="K34" s="96">
        <f>'ROM A15 PB BAN'!G46</f>
        <v>4.1020573480900241E-2</v>
      </c>
      <c r="L34" s="96">
        <f>'ROM A15 PB BAN'!H46</f>
        <v>3.682060588044174E-2</v>
      </c>
      <c r="M34" s="96">
        <f>'ROM A15 PB PAR'!G46</f>
        <v>1.7000697836706213E-2</v>
      </c>
      <c r="N34" s="96">
        <f>'ROM A15 PB PAR'!H46</f>
        <v>1.4661244350002954E-2</v>
      </c>
      <c r="O34" s="96">
        <f>'STO A15 PB BAN'!G46</f>
        <v>2.6915741552136493E-2</v>
      </c>
      <c r="P34" s="96">
        <f>'STO A15 PB BAN'!H46</f>
        <v>2.570220432240073E-2</v>
      </c>
      <c r="Q34" s="96">
        <f>'STO A15 PB PAR '!G46</f>
        <v>1.8649292180561935E-2</v>
      </c>
      <c r="R34" s="96">
        <f>'STO A15 PB PAR '!H46</f>
        <v>1.7876806254658543E-2</v>
      </c>
      <c r="S34" s="60">
        <f t="shared" si="0"/>
        <v>2.3468150419388146E-2</v>
      </c>
      <c r="T34" s="60">
        <f t="shared" si="1"/>
        <v>2.1027927498069695E-2</v>
      </c>
      <c r="U34" s="60">
        <f t="shared" si="2"/>
        <v>1.3323186976846951E-2</v>
      </c>
      <c r="V34" s="60">
        <f t="shared" si="9"/>
        <v>1.2298098201643272E-2</v>
      </c>
      <c r="W34" s="60">
        <f t="shared" si="3"/>
        <v>3.361311386192934E-2</v>
      </c>
      <c r="X34" s="60">
        <f t="shared" si="4"/>
        <v>2.9757756794496125E-2</v>
      </c>
      <c r="Y34" s="232">
        <f t="shared" si="5"/>
        <v>0</v>
      </c>
      <c r="Z34" s="232">
        <f t="shared" si="6"/>
        <v>0</v>
      </c>
      <c r="AA34" s="244">
        <f t="shared" si="7"/>
        <v>6.8843305161840097E-4</v>
      </c>
      <c r="AB34" s="244">
        <f t="shared" si="8"/>
        <v>4.5643549754360059E-2</v>
      </c>
    </row>
    <row r="35" spans="1:28" ht="25.5" x14ac:dyDescent="0.25">
      <c r="A35" s="402"/>
      <c r="B35" s="203" t="s">
        <v>62</v>
      </c>
      <c r="C35" s="176">
        <f>'ISS A15 PB BAN'!G47</f>
        <v>3.9735351154036296E-3</v>
      </c>
      <c r="D35" s="96">
        <f>'ISS A15 PB BAN'!H47</f>
        <v>3.8163284859553457E-3</v>
      </c>
      <c r="E35" s="96">
        <f>'ISS A15 PB PAR'!G47</f>
        <v>9.426980059489996E-4</v>
      </c>
      <c r="F35" s="96">
        <f>'ISS A15 PB PAR'!H47</f>
        <v>7.8886663700711757E-4</v>
      </c>
      <c r="G35" s="96">
        <f>'IVR A15 PB BAN'!G47</f>
        <v>0</v>
      </c>
      <c r="H35" s="96">
        <f>'IVR A15 PB BAN'!H47</f>
        <v>0</v>
      </c>
      <c r="I35" s="96">
        <f>'IVR A15 PB PAR'!G47</f>
        <v>5.3295385928109886E-3</v>
      </c>
      <c r="J35" s="96">
        <f>'IVR A15 PB PAR'!H47</f>
        <v>5.0588901764705334E-3</v>
      </c>
      <c r="K35" s="96">
        <f>'ROM A15 PB BAN'!G47</f>
        <v>3.275848607288558E-3</v>
      </c>
      <c r="L35" s="96">
        <f>'ROM A15 PB BAN'!H47</f>
        <v>2.9404447636288598E-3</v>
      </c>
      <c r="M35" s="96">
        <f>'ROM A15 PB PAR'!G47</f>
        <v>4.6824842986741121E-3</v>
      </c>
      <c r="N35" s="96">
        <f>'ROM A15 PB PAR'!H47</f>
        <v>4.0381310889302949E-3</v>
      </c>
      <c r="O35" s="96">
        <f>'STO A15 PB BAN'!G47</f>
        <v>5.0923537812106665E-3</v>
      </c>
      <c r="P35" s="96">
        <f>'STO A15 PB BAN'!H47</f>
        <v>4.8627572498086075E-3</v>
      </c>
      <c r="Q35" s="96">
        <f>'STO A15 PB PAR '!G47</f>
        <v>3.1493663837315155E-3</v>
      </c>
      <c r="R35" s="96">
        <f>'STO A15 PB PAR '!H47</f>
        <v>3.0189141830050132E-3</v>
      </c>
      <c r="S35" s="60">
        <f t="shared" si="0"/>
        <v>3.305728098133559E-3</v>
      </c>
      <c r="T35" s="60">
        <f t="shared" si="1"/>
        <v>3.0655415731007211E-3</v>
      </c>
      <c r="U35" s="60">
        <f t="shared" si="2"/>
        <v>3.5260218202914041E-3</v>
      </c>
      <c r="V35" s="60">
        <f t="shared" si="9"/>
        <v>3.2262005213532399E-3</v>
      </c>
      <c r="W35" s="60">
        <f t="shared" si="3"/>
        <v>3.0854343759757134E-3</v>
      </c>
      <c r="X35" s="60">
        <f t="shared" si="4"/>
        <v>2.9048826248482033E-3</v>
      </c>
      <c r="Y35" s="232">
        <f t="shared" si="5"/>
        <v>0</v>
      </c>
      <c r="Z35" s="232">
        <f t="shared" si="6"/>
        <v>0</v>
      </c>
      <c r="AA35" s="244">
        <f t="shared" si="7"/>
        <v>0</v>
      </c>
      <c r="AB35" s="244">
        <f t="shared" si="8"/>
        <v>5.0588901764705334E-3</v>
      </c>
    </row>
    <row r="36" spans="1:28" x14ac:dyDescent="0.25">
      <c r="A36" s="402"/>
      <c r="B36" s="203" t="s">
        <v>63</v>
      </c>
      <c r="C36" s="176">
        <f>'ISS A15 PB BAN'!G48</f>
        <v>0</v>
      </c>
      <c r="D36" s="96">
        <f>'ISS A15 PB BAN'!H48</f>
        <v>0</v>
      </c>
      <c r="E36" s="96">
        <f>'ISS A15 PB PAR'!G48</f>
        <v>0</v>
      </c>
      <c r="F36" s="96">
        <f>'ISS A15 PB PAR'!H48</f>
        <v>0</v>
      </c>
      <c r="G36" s="96">
        <f>'IVR A15 PB BAN'!G48</f>
        <v>0</v>
      </c>
      <c r="H36" s="96">
        <f>'IVR A15 PB BAN'!H48</f>
        <v>0</v>
      </c>
      <c r="I36" s="96">
        <f>'IVR A15 PB PAR'!G48</f>
        <v>0</v>
      </c>
      <c r="J36" s="96">
        <f>'IVR A15 PB PAR'!H48</f>
        <v>0</v>
      </c>
      <c r="K36" s="96">
        <f>'ROM A15 PB BAN'!G48</f>
        <v>0</v>
      </c>
      <c r="L36" s="96">
        <f>'ROM A15 PB BAN'!H48</f>
        <v>0</v>
      </c>
      <c r="M36" s="96">
        <f>'ROM A15 PB PAR'!G48</f>
        <v>0</v>
      </c>
      <c r="N36" s="96">
        <f>'ROM A15 PB PAR'!H48</f>
        <v>0</v>
      </c>
      <c r="O36" s="96">
        <f>'STO A15 PB BAN'!G48</f>
        <v>0</v>
      </c>
      <c r="P36" s="96">
        <f>'STO A15 PB BAN'!H48</f>
        <v>0</v>
      </c>
      <c r="Q36" s="96">
        <f>'STO A15 PB PAR '!G48</f>
        <v>0</v>
      </c>
      <c r="R36" s="96">
        <f>'STO A15 PB PAR '!H48</f>
        <v>0</v>
      </c>
      <c r="S36" s="60">
        <f t="shared" si="0"/>
        <v>0</v>
      </c>
      <c r="T36" s="60">
        <f t="shared" si="1"/>
        <v>0</v>
      </c>
      <c r="U36" s="60">
        <f t="shared" si="2"/>
        <v>0</v>
      </c>
      <c r="V36" s="60">
        <f t="shared" si="9"/>
        <v>0</v>
      </c>
      <c r="W36" s="60">
        <f t="shared" si="3"/>
        <v>0</v>
      </c>
      <c r="X36" s="60">
        <f t="shared" si="4"/>
        <v>0</v>
      </c>
      <c r="Y36" s="232">
        <f t="shared" si="5"/>
        <v>0</v>
      </c>
      <c r="Z36" s="232">
        <f t="shared" si="6"/>
        <v>0</v>
      </c>
      <c r="AA36" s="244">
        <f t="shared" si="7"/>
        <v>0</v>
      </c>
      <c r="AB36" s="244">
        <f t="shared" si="8"/>
        <v>0</v>
      </c>
    </row>
    <row r="37" spans="1:28" ht="25.5" x14ac:dyDescent="0.25">
      <c r="A37" s="402"/>
      <c r="B37" s="203" t="s">
        <v>64</v>
      </c>
      <c r="C37" s="176">
        <f>'ISS A15 PB BAN'!G49</f>
        <v>0</v>
      </c>
      <c r="D37" s="96">
        <f>'ISS A15 PB BAN'!H49</f>
        <v>0</v>
      </c>
      <c r="E37" s="96">
        <f>'ISS A15 PB PAR'!G49</f>
        <v>0</v>
      </c>
      <c r="F37" s="96">
        <f>'ISS A15 PB PAR'!H49</f>
        <v>0</v>
      </c>
      <c r="G37" s="96">
        <f>'IVR A15 PB BAN'!G49</f>
        <v>0</v>
      </c>
      <c r="H37" s="96">
        <f>'IVR A15 PB BAN'!H49</f>
        <v>0</v>
      </c>
      <c r="I37" s="96">
        <f>'IVR A15 PB PAR'!G49</f>
        <v>0</v>
      </c>
      <c r="J37" s="96">
        <f>'IVR A15 PB PAR'!H49</f>
        <v>0</v>
      </c>
      <c r="K37" s="96">
        <f>'ROM A15 PB BAN'!G49</f>
        <v>0</v>
      </c>
      <c r="L37" s="96">
        <f>'ROM A15 PB BAN'!H49</f>
        <v>0</v>
      </c>
      <c r="M37" s="96">
        <f>'ROM A15 PB PAR'!G49</f>
        <v>0</v>
      </c>
      <c r="N37" s="96">
        <f>'ROM A15 PB PAR'!H49</f>
        <v>0</v>
      </c>
      <c r="O37" s="96">
        <f>'STO A15 PB BAN'!G49</f>
        <v>5.9222220358523241E-3</v>
      </c>
      <c r="P37" s="96">
        <f>'STO A15 PB BAN'!H49</f>
        <v>5.6552096294006119E-3</v>
      </c>
      <c r="Q37" s="96">
        <f>'STO A15 PB PAR '!G49</f>
        <v>0</v>
      </c>
      <c r="R37" s="96">
        <f>'STO A15 PB PAR '!H49</f>
        <v>0</v>
      </c>
      <c r="S37" s="60">
        <f t="shared" si="0"/>
        <v>7.4027775448154052E-4</v>
      </c>
      <c r="T37" s="60">
        <f t="shared" si="1"/>
        <v>7.0690120367507649E-4</v>
      </c>
      <c r="U37" s="60">
        <f t="shared" si="2"/>
        <v>0</v>
      </c>
      <c r="V37" s="60">
        <f t="shared" si="9"/>
        <v>0</v>
      </c>
      <c r="W37" s="60">
        <f t="shared" si="3"/>
        <v>1.480555508963081E-3</v>
      </c>
      <c r="X37" s="60">
        <f t="shared" si="4"/>
        <v>1.413802407350153E-3</v>
      </c>
      <c r="Y37" s="232">
        <f t="shared" si="5"/>
        <v>0</v>
      </c>
      <c r="Z37" s="232">
        <f t="shared" si="6"/>
        <v>0</v>
      </c>
      <c r="AA37" s="244">
        <f t="shared" si="7"/>
        <v>0</v>
      </c>
      <c r="AB37" s="244">
        <f t="shared" si="8"/>
        <v>5.6552096294006119E-3</v>
      </c>
    </row>
    <row r="38" spans="1:28" x14ac:dyDescent="0.25">
      <c r="A38" s="402"/>
      <c r="B38" s="203" t="s">
        <v>65</v>
      </c>
      <c r="C38" s="176">
        <f>'ISS A15 PB BAN'!G50</f>
        <v>3.6313167801057095E-3</v>
      </c>
      <c r="D38" s="96">
        <f>'ISS A15 PB BAN'!H50</f>
        <v>3.4876494775955553E-3</v>
      </c>
      <c r="E38" s="96">
        <f>'ISS A15 PB PAR'!G50</f>
        <v>2.8280940178469984E-3</v>
      </c>
      <c r="F38" s="96">
        <f>'ISS A15 PB PAR'!H50</f>
        <v>2.3665999110213526E-3</v>
      </c>
      <c r="G38" s="96">
        <f>'IVR A15 PB BAN'!G50</f>
        <v>3.7315943314652519E-3</v>
      </c>
      <c r="H38" s="96">
        <f>'IVR A15 PB BAN'!H50</f>
        <v>3.0853461420161229E-3</v>
      </c>
      <c r="I38" s="96">
        <f>'IVR A15 PB PAR'!G50</f>
        <v>3.9773896710543367E-3</v>
      </c>
      <c r="J38" s="96">
        <f>'IVR A15 PB PAR'!H50</f>
        <v>3.7754070421844015E-3</v>
      </c>
      <c r="K38" s="96">
        <f>'ROM A15 PB BAN'!G50</f>
        <v>0</v>
      </c>
      <c r="L38" s="96">
        <f>'ROM A15 PB BAN'!H50</f>
        <v>0</v>
      </c>
      <c r="M38" s="96">
        <f>'ROM A15 PB PAR'!G50</f>
        <v>4.8415910676901626E-3</v>
      </c>
      <c r="N38" s="96">
        <f>'ROM A15 PB PAR'!H50</f>
        <v>4.1753432928462574E-3</v>
      </c>
      <c r="O38" s="96">
        <f>'STO A15 PB BAN'!G50</f>
        <v>2.5444521306455668E-3</v>
      </c>
      <c r="P38" s="96">
        <f>'STO A15 PB BAN'!H50</f>
        <v>2.4297316283760028E-3</v>
      </c>
      <c r="Q38" s="96">
        <f>'STO A15 PB PAR '!G50</f>
        <v>1.7940093745526481E-3</v>
      </c>
      <c r="R38" s="96">
        <f>'STO A15 PB PAR '!H50</f>
        <v>1.7196984044974344E-3</v>
      </c>
      <c r="S38" s="60">
        <f t="shared" si="0"/>
        <v>2.9185559216700842E-3</v>
      </c>
      <c r="T38" s="60">
        <f t="shared" si="1"/>
        <v>2.6299719873171408E-3</v>
      </c>
      <c r="U38" s="60">
        <f t="shared" si="2"/>
        <v>3.3602710327860367E-3</v>
      </c>
      <c r="V38" s="60">
        <f t="shared" si="9"/>
        <v>3.0092621626373614E-3</v>
      </c>
      <c r="W38" s="60">
        <f t="shared" si="3"/>
        <v>2.4768408105541322E-3</v>
      </c>
      <c r="X38" s="60">
        <f t="shared" si="4"/>
        <v>2.2506818119969203E-3</v>
      </c>
      <c r="Y38" s="232">
        <f t="shared" si="5"/>
        <v>0</v>
      </c>
      <c r="Z38" s="232">
        <f t="shared" si="6"/>
        <v>0</v>
      </c>
      <c r="AA38" s="244">
        <f t="shared" si="7"/>
        <v>0</v>
      </c>
      <c r="AB38" s="244">
        <f t="shared" si="8"/>
        <v>4.1753432928462574E-3</v>
      </c>
    </row>
    <row r="39" spans="1:28" x14ac:dyDescent="0.25">
      <c r="A39" s="402"/>
      <c r="B39" s="203" t="s">
        <v>66</v>
      </c>
      <c r="C39" s="176">
        <f>'ISS A15 PB BAN'!G51</f>
        <v>0</v>
      </c>
      <c r="D39" s="96">
        <f>'ISS A15 PB BAN'!H51</f>
        <v>0</v>
      </c>
      <c r="E39" s="96">
        <f>'ISS A15 PB PAR'!G51</f>
        <v>0</v>
      </c>
      <c r="F39" s="96">
        <f>'ISS A15 PB PAR'!H51</f>
        <v>0</v>
      </c>
      <c r="G39" s="96">
        <f>'IVR A15 PB BAN'!G51</f>
        <v>3.8624181728020971E-3</v>
      </c>
      <c r="H39" s="96">
        <f>'IVR A15 PB BAN'!H51</f>
        <v>3.1935135359766214E-3</v>
      </c>
      <c r="I39" s="96">
        <f>'IVR A15 PB PAR'!G51</f>
        <v>1.8136787855739894E-2</v>
      </c>
      <c r="J39" s="96">
        <f>'IVR A15 PB PAR'!H51</f>
        <v>1.7215752605656495E-2</v>
      </c>
      <c r="K39" s="96">
        <f>'ROM A15 PB BAN'!G51</f>
        <v>8.8701177021725114E-3</v>
      </c>
      <c r="L39" s="96">
        <f>'ROM A15 PB BAN'!H51</f>
        <v>7.9619342273918869E-3</v>
      </c>
      <c r="M39" s="96">
        <f>'ROM A15 PB PAR'!G51</f>
        <v>8.3028611304954651E-3</v>
      </c>
      <c r="N39" s="96">
        <f>'ROM A15 PB PAR'!H51</f>
        <v>7.1603105359303483E-3</v>
      </c>
      <c r="O39" s="96">
        <f>'STO A15 PB BAN'!G51</f>
        <v>4.8465754869439328E-3</v>
      </c>
      <c r="P39" s="96">
        <f>'STO A15 PB BAN'!H51</f>
        <v>4.6280602445257155E-3</v>
      </c>
      <c r="Q39" s="96">
        <f>'STO A15 PB PAR '!G51</f>
        <v>3.9307979927057654E-3</v>
      </c>
      <c r="R39" s="96">
        <f>'STO A15 PB PAR '!H51</f>
        <v>3.7679775436755642E-3</v>
      </c>
      <c r="S39" s="60">
        <f t="shared" si="0"/>
        <v>5.9936947926074588E-3</v>
      </c>
      <c r="T39" s="60">
        <f t="shared" si="1"/>
        <v>5.4909435866445783E-3</v>
      </c>
      <c r="U39" s="60">
        <f t="shared" si="2"/>
        <v>7.5926117447352812E-3</v>
      </c>
      <c r="V39" s="60">
        <f t="shared" si="9"/>
        <v>7.036010171315602E-3</v>
      </c>
      <c r="W39" s="60">
        <f t="shared" si="3"/>
        <v>4.3947778404796354E-3</v>
      </c>
      <c r="X39" s="60">
        <f t="shared" si="4"/>
        <v>3.9458770019735554E-3</v>
      </c>
      <c r="Y39" s="232">
        <f t="shared" si="5"/>
        <v>0</v>
      </c>
      <c r="Z39" s="232">
        <f t="shared" si="6"/>
        <v>0</v>
      </c>
      <c r="AA39" s="244">
        <f t="shared" si="7"/>
        <v>0</v>
      </c>
      <c r="AB39" s="244">
        <f t="shared" si="8"/>
        <v>1.7215752605656495E-2</v>
      </c>
    </row>
    <row r="40" spans="1:28" ht="25.5" x14ac:dyDescent="0.25">
      <c r="A40" s="204" t="s">
        <v>67</v>
      </c>
      <c r="B40" s="181" t="s">
        <v>68</v>
      </c>
      <c r="C40" s="174">
        <f>'ISS A15 PB BAN'!G52</f>
        <v>9.9813681128560049E-3</v>
      </c>
      <c r="D40" s="111">
        <f>'ISS A15 PB BAN'!H52</f>
        <v>1.0601132244916019E-2</v>
      </c>
      <c r="E40" s="111">
        <f>'ISS A15 PB PAR'!G52</f>
        <v>2.1786751071121997E-2</v>
      </c>
      <c r="F40" s="111">
        <f>'ISS A15 PB PAR'!H52</f>
        <v>2.0161448643477596E-2</v>
      </c>
      <c r="G40" s="111">
        <f>'IVR A15 PB BAN'!G52</f>
        <v>0</v>
      </c>
      <c r="H40" s="111">
        <f>'IVR A15 PB BAN'!H52</f>
        <v>0</v>
      </c>
      <c r="I40" s="111">
        <f>'IVR A15 PB PAR'!G52</f>
        <v>0</v>
      </c>
      <c r="J40" s="111">
        <f>'IVR A15 PB PAR'!H52</f>
        <v>0</v>
      </c>
      <c r="K40" s="111">
        <f>'ROM A15 PB BAN'!G52</f>
        <v>2.0607639905525967E-3</v>
      </c>
      <c r="L40" s="111">
        <f>'ROM A15 PB BAN'!H52</f>
        <v>2.0455342330734688E-3</v>
      </c>
      <c r="M40" s="111">
        <f>'ROM A15 PB PAR'!G52</f>
        <v>2.8332170272156312E-2</v>
      </c>
      <c r="N40" s="111">
        <f>'ROM A15 PB PAR'!H52</f>
        <v>2.7019669949782717E-2</v>
      </c>
      <c r="O40" s="111">
        <f>'STO A15 PB BAN'!G52</f>
        <v>0</v>
      </c>
      <c r="P40" s="111">
        <f>'STO A15 PB BAN'!H52</f>
        <v>0</v>
      </c>
      <c r="Q40" s="111">
        <f>'STO A15 PB PAR '!G52</f>
        <v>4.9888169913438404E-2</v>
      </c>
      <c r="R40" s="111">
        <f>'STO A15 PB PAR '!H52</f>
        <v>5.2883464426231777E-2</v>
      </c>
      <c r="S40" s="62">
        <f t="shared" si="0"/>
        <v>1.4006152920015665E-2</v>
      </c>
      <c r="T40" s="62">
        <f t="shared" si="1"/>
        <v>1.4088906187185198E-2</v>
      </c>
      <c r="U40" s="62">
        <f t="shared" si="2"/>
        <v>2.5001772814179177E-2</v>
      </c>
      <c r="V40" s="62">
        <f t="shared" si="9"/>
        <v>2.5016145754873022E-2</v>
      </c>
      <c r="W40" s="62">
        <f t="shared" si="3"/>
        <v>3.0105330258521504E-3</v>
      </c>
      <c r="X40" s="62">
        <f t="shared" si="4"/>
        <v>3.1616666194973718E-3</v>
      </c>
      <c r="Y40" s="232">
        <f t="shared" si="5"/>
        <v>0</v>
      </c>
      <c r="Z40" s="232">
        <f t="shared" si="6"/>
        <v>0</v>
      </c>
      <c r="AA40" s="31">
        <f t="shared" si="7"/>
        <v>0</v>
      </c>
      <c r="AB40" s="31">
        <f t="shared" si="8"/>
        <v>5.2883464426231777E-2</v>
      </c>
    </row>
    <row r="41" spans="1:28" x14ac:dyDescent="0.25">
      <c r="A41" s="402" t="s">
        <v>69</v>
      </c>
      <c r="B41" s="203" t="s">
        <v>121</v>
      </c>
      <c r="C41" s="176">
        <f>'ISS A15 PB BAN'!G53</f>
        <v>2.5514278109433804E-2</v>
      </c>
      <c r="D41" s="96">
        <f>'ISS A15 PB BAN'!H53</f>
        <v>2.4233707670798917E-2</v>
      </c>
      <c r="E41" s="96">
        <f>'ISS A15 PB PAR'!G53</f>
        <v>1.3922138677473427E-2</v>
      </c>
      <c r="F41" s="96">
        <f>'ISS A15 PB PAR'!H53</f>
        <v>1.1523328921784469E-2</v>
      </c>
      <c r="G41" s="96">
        <f>'IVR A15 PB BAN'!G53</f>
        <v>9.9675307685215481E-4</v>
      </c>
      <c r="H41" s="96">
        <f>'IVR A15 PB BAN'!H53</f>
        <v>8.1503737845973817E-4</v>
      </c>
      <c r="I41" s="96">
        <f>'IVR A15 PB PAR'!G53</f>
        <v>0</v>
      </c>
      <c r="J41" s="96">
        <f>'IVR A15 PB PAR'!H53</f>
        <v>0</v>
      </c>
      <c r="K41" s="96">
        <f>'ROM A15 PB BAN'!G53</f>
        <v>0</v>
      </c>
      <c r="L41" s="96">
        <f>'ROM A15 PB BAN'!H53</f>
        <v>0</v>
      </c>
      <c r="M41" s="96">
        <f>'ROM A15 PB PAR'!G53</f>
        <v>5.0802512212142371E-4</v>
      </c>
      <c r="N41" s="96">
        <f>'ROM A15 PB PAR'!H53</f>
        <v>4.3330867123552065E-4</v>
      </c>
      <c r="O41" s="96">
        <f>'STO A15 PB BAN'!G53</f>
        <v>8.9730636906853398E-5</v>
      </c>
      <c r="P41" s="96">
        <f>'STO A15 PB BAN'!H53</f>
        <v>8.4701260569249677E-5</v>
      </c>
      <c r="Q41" s="96">
        <f>'STO A15 PB PAR '!G53</f>
        <v>0</v>
      </c>
      <c r="R41" s="96">
        <f>'STO A15 PB PAR '!H53</f>
        <v>0</v>
      </c>
      <c r="S41" s="60">
        <f t="shared" si="0"/>
        <v>5.1288657028484581E-3</v>
      </c>
      <c r="T41" s="60">
        <f t="shared" si="1"/>
        <v>4.6362604878559862E-3</v>
      </c>
      <c r="U41" s="60">
        <f t="shared" si="2"/>
        <v>3.6075409498987129E-3</v>
      </c>
      <c r="V41" s="60">
        <f t="shared" si="9"/>
        <v>2.9891593982549975E-3</v>
      </c>
      <c r="W41" s="60">
        <f t="shared" si="3"/>
        <v>6.6501904557982033E-3</v>
      </c>
      <c r="X41" s="60">
        <f t="shared" si="4"/>
        <v>6.2833615774569758E-3</v>
      </c>
      <c r="Y41" s="232">
        <f t="shared" si="5"/>
        <v>0</v>
      </c>
      <c r="Z41" s="232">
        <f t="shared" si="6"/>
        <v>0</v>
      </c>
      <c r="AA41" s="244">
        <f>MIN(D41,F41,H41,J41,L41,N41,P41,R41)</f>
        <v>0</v>
      </c>
      <c r="AB41" s="244">
        <f t="shared" si="8"/>
        <v>2.4233707670798917E-2</v>
      </c>
    </row>
    <row r="42" spans="1:28" ht="25.5" x14ac:dyDescent="0.25">
      <c r="A42" s="402"/>
      <c r="B42" s="203" t="s">
        <v>70</v>
      </c>
      <c r="C42" s="176">
        <f>'ISS A15 PB BAN'!G54</f>
        <v>0</v>
      </c>
      <c r="D42" s="96">
        <f>'ISS A15 PB BAN'!H54</f>
        <v>0</v>
      </c>
      <c r="E42" s="96">
        <f>'ISS A15 PB PAR'!G54</f>
        <v>0</v>
      </c>
      <c r="F42" s="96">
        <f>'ISS A15 PB PAR'!H54</f>
        <v>0</v>
      </c>
      <c r="G42" s="96">
        <f>'IVR A15 PB BAN'!G54</f>
        <v>0</v>
      </c>
      <c r="H42" s="96">
        <f>'IVR A15 PB BAN'!H54</f>
        <v>0</v>
      </c>
      <c r="I42" s="96">
        <f>'IVR A15 PB PAR'!G54</f>
        <v>0</v>
      </c>
      <c r="J42" s="96">
        <f>'IVR A15 PB PAR'!H54</f>
        <v>0</v>
      </c>
      <c r="K42" s="96">
        <f>'ROM A15 PB BAN'!G54</f>
        <v>9.6718783549023114E-4</v>
      </c>
      <c r="L42" s="96">
        <f>'ROM A15 PB BAN'!H54</f>
        <v>8.5842766182491555E-4</v>
      </c>
      <c r="M42" s="96">
        <f>'ROM A15 PB PAR'!G54</f>
        <v>0</v>
      </c>
      <c r="N42" s="96">
        <f>'ROM A15 PB PAR'!H54</f>
        <v>0</v>
      </c>
      <c r="O42" s="96">
        <f>'STO A15 PB BAN'!G54</f>
        <v>0</v>
      </c>
      <c r="P42" s="96">
        <f>'STO A15 PB BAN'!H54</f>
        <v>0</v>
      </c>
      <c r="Q42" s="96">
        <f>'STO A15 PB PAR '!G54</f>
        <v>0</v>
      </c>
      <c r="R42" s="96">
        <f>'STO A15 PB PAR '!H54</f>
        <v>0</v>
      </c>
      <c r="S42" s="60">
        <f t="shared" si="0"/>
        <v>1.2089847943627889E-4</v>
      </c>
      <c r="T42" s="60">
        <f t="shared" si="1"/>
        <v>1.0730345772811444E-4</v>
      </c>
      <c r="U42" s="60">
        <f t="shared" si="2"/>
        <v>0</v>
      </c>
      <c r="V42" s="60">
        <f t="shared" si="9"/>
        <v>0</v>
      </c>
      <c r="W42" s="60">
        <f t="shared" si="3"/>
        <v>2.4179695887255778E-4</v>
      </c>
      <c r="X42" s="60">
        <f t="shared" si="4"/>
        <v>2.1460691545622889E-4</v>
      </c>
      <c r="Y42" s="232">
        <f t="shared" si="5"/>
        <v>0</v>
      </c>
      <c r="Z42" s="232">
        <f t="shared" si="6"/>
        <v>0</v>
      </c>
      <c r="AA42" s="244">
        <f t="shared" si="7"/>
        <v>0</v>
      </c>
      <c r="AB42" s="244">
        <f t="shared" si="8"/>
        <v>8.5842766182491555E-4</v>
      </c>
    </row>
    <row r="43" spans="1:28" x14ac:dyDescent="0.25">
      <c r="A43" s="402"/>
      <c r="B43" s="203" t="s">
        <v>71</v>
      </c>
      <c r="C43" s="176">
        <f>'ISS A15 PB BAN'!G55</f>
        <v>1.0646792653713074E-3</v>
      </c>
      <c r="D43" s="96">
        <f>'ISS A15 PB BAN'!H55</f>
        <v>1.0112426449811779E-3</v>
      </c>
      <c r="E43" s="96">
        <f>'ISS A15 PB PAR'!G55</f>
        <v>0</v>
      </c>
      <c r="F43" s="96">
        <f>'ISS A15 PB PAR'!H55</f>
        <v>0</v>
      </c>
      <c r="G43" s="96">
        <f>'IVR A15 PB BAN'!G55</f>
        <v>0</v>
      </c>
      <c r="H43" s="96">
        <f>'IVR A15 PB BAN'!H55</f>
        <v>0</v>
      </c>
      <c r="I43" s="96">
        <f>'IVR A15 PB PAR'!G55</f>
        <v>0</v>
      </c>
      <c r="J43" s="96">
        <f>'IVR A15 PB PAR'!H55</f>
        <v>0</v>
      </c>
      <c r="K43" s="96">
        <f>'ROM A15 PB BAN'!G55</f>
        <v>7.7375026839218422E-3</v>
      </c>
      <c r="L43" s="96">
        <f>'ROM A15 PB BAN'!H55</f>
        <v>6.8674212945993183E-3</v>
      </c>
      <c r="M43" s="96">
        <f>'ROM A15 PB PAR'!G55</f>
        <v>0</v>
      </c>
      <c r="N43" s="96">
        <f>'ROM A15 PB PAR'!H55</f>
        <v>0</v>
      </c>
      <c r="O43" s="96">
        <f>'STO A15 PB BAN'!G55</f>
        <v>5.024915666783791E-3</v>
      </c>
      <c r="P43" s="96">
        <f>'STO A15 PB BAN'!H55</f>
        <v>4.7432705918779823E-3</v>
      </c>
      <c r="Q43" s="96">
        <f>'STO A15 PB PAR '!G55</f>
        <v>1.2150933186940755E-2</v>
      </c>
      <c r="R43" s="96">
        <f>'STO A15 PB PAR '!H55</f>
        <v>1.1519254737243658E-2</v>
      </c>
      <c r="S43" s="60">
        <f t="shared" si="0"/>
        <v>3.2472538503772121E-3</v>
      </c>
      <c r="T43" s="60">
        <f t="shared" si="1"/>
        <v>3.0176486585877672E-3</v>
      </c>
      <c r="U43" s="60">
        <f t="shared" si="2"/>
        <v>3.0377332967351889E-3</v>
      </c>
      <c r="V43" s="60">
        <f t="shared" si="9"/>
        <v>2.8798136843109145E-3</v>
      </c>
      <c r="W43" s="60">
        <f t="shared" si="3"/>
        <v>3.4567744040192353E-3</v>
      </c>
      <c r="X43" s="60">
        <f t="shared" si="4"/>
        <v>3.1554836328646198E-3</v>
      </c>
      <c r="Y43" s="232">
        <f t="shared" si="5"/>
        <v>0</v>
      </c>
      <c r="Z43" s="232">
        <f t="shared" si="6"/>
        <v>0</v>
      </c>
      <c r="AA43" s="244">
        <f t="shared" si="7"/>
        <v>0</v>
      </c>
      <c r="AB43" s="244">
        <f t="shared" si="8"/>
        <v>1.1519254737243658E-2</v>
      </c>
    </row>
    <row r="44" spans="1:28" x14ac:dyDescent="0.25">
      <c r="A44" s="402"/>
      <c r="B44" s="203" t="s">
        <v>72</v>
      </c>
      <c r="C44" s="176">
        <f>'ISS A15 PB BAN'!G56</f>
        <v>0</v>
      </c>
      <c r="D44" s="96">
        <f>'ISS A15 PB BAN'!H56</f>
        <v>0</v>
      </c>
      <c r="E44" s="96">
        <f>'ISS A15 PB PAR'!G56</f>
        <v>0</v>
      </c>
      <c r="F44" s="96">
        <f>'ISS A15 PB PAR'!H56</f>
        <v>0</v>
      </c>
      <c r="G44" s="96">
        <f>'IVR A15 PB BAN'!G56</f>
        <v>0</v>
      </c>
      <c r="H44" s="96">
        <f>'IVR A15 PB BAN'!H56</f>
        <v>0</v>
      </c>
      <c r="I44" s="96">
        <f>'IVR A15 PB PAR'!G56</f>
        <v>0</v>
      </c>
      <c r="J44" s="96">
        <f>'IVR A15 PB PAR'!H56</f>
        <v>0</v>
      </c>
      <c r="K44" s="96">
        <f>'ROM A15 PB BAN'!G56</f>
        <v>0</v>
      </c>
      <c r="L44" s="96">
        <f>'ROM A15 PB BAN'!H56</f>
        <v>0</v>
      </c>
      <c r="M44" s="96">
        <f>'ROM A15 PB PAR'!G56</f>
        <v>0</v>
      </c>
      <c r="N44" s="96">
        <f>'ROM A15 PB PAR'!H56</f>
        <v>0</v>
      </c>
      <c r="O44" s="96">
        <f>'STO A15 PB BAN'!G56</f>
        <v>0</v>
      </c>
      <c r="P44" s="96">
        <f>'STO A15 PB BAN'!H56</f>
        <v>0</v>
      </c>
      <c r="Q44" s="96">
        <f>'STO A15 PB PAR '!G56</f>
        <v>0</v>
      </c>
      <c r="R44" s="96">
        <f>'STO A15 PB PAR '!H56</f>
        <v>0</v>
      </c>
      <c r="S44" s="60">
        <f t="shared" si="0"/>
        <v>0</v>
      </c>
      <c r="T44" s="60">
        <f t="shared" si="1"/>
        <v>0</v>
      </c>
      <c r="U44" s="60">
        <f t="shared" si="2"/>
        <v>0</v>
      </c>
      <c r="V44" s="60">
        <f t="shared" si="9"/>
        <v>0</v>
      </c>
      <c r="W44" s="60">
        <f t="shared" si="3"/>
        <v>0</v>
      </c>
      <c r="X44" s="60">
        <f t="shared" si="4"/>
        <v>0</v>
      </c>
      <c r="Y44" s="232">
        <f t="shared" si="5"/>
        <v>0</v>
      </c>
      <c r="Z44" s="232">
        <f t="shared" si="6"/>
        <v>0</v>
      </c>
      <c r="AA44" s="244">
        <f t="shared" si="7"/>
        <v>0</v>
      </c>
      <c r="AB44" s="244">
        <f t="shared" si="8"/>
        <v>0</v>
      </c>
    </row>
    <row r="45" spans="1:28" ht="25.5" x14ac:dyDescent="0.25">
      <c r="A45" s="402"/>
      <c r="B45" s="203" t="s">
        <v>122</v>
      </c>
      <c r="C45" s="176">
        <f>'ISS A15 PB BAN'!G57</f>
        <v>0</v>
      </c>
      <c r="D45" s="96">
        <f>'ISS A15 PB BAN'!H57</f>
        <v>0</v>
      </c>
      <c r="E45" s="96">
        <f>'ISS A15 PB PAR'!G57</f>
        <v>9.6014749499816828E-4</v>
      </c>
      <c r="F45" s="96">
        <f>'ISS A15 PB PAR'!H57</f>
        <v>7.9471233943341241E-4</v>
      </c>
      <c r="G45" s="96">
        <f>'IVR A15 PB BAN'!G57</f>
        <v>0</v>
      </c>
      <c r="H45" s="96">
        <f>'IVR A15 PB BAN'!H57</f>
        <v>0</v>
      </c>
      <c r="I45" s="96">
        <f>'IVR A15 PB PAR'!G57</f>
        <v>0</v>
      </c>
      <c r="J45" s="96">
        <f>'IVR A15 PB PAR'!H57</f>
        <v>0</v>
      </c>
      <c r="K45" s="96">
        <f>'ROM A15 PB BAN'!G57</f>
        <v>0</v>
      </c>
      <c r="L45" s="96">
        <f>'ROM A15 PB BAN'!H57</f>
        <v>0</v>
      </c>
      <c r="M45" s="96">
        <f>'ROM A15 PB PAR'!G57</f>
        <v>0</v>
      </c>
      <c r="N45" s="96">
        <f>'ROM A15 PB PAR'!H57</f>
        <v>0</v>
      </c>
      <c r="O45" s="96">
        <f>'STO A15 PB BAN'!G57</f>
        <v>0</v>
      </c>
      <c r="P45" s="96">
        <f>'STO A15 PB BAN'!H57</f>
        <v>0</v>
      </c>
      <c r="Q45" s="96">
        <f>'STO A15 PB PAR '!G57</f>
        <v>0</v>
      </c>
      <c r="R45" s="96">
        <f>'STO A15 PB PAR '!H57</f>
        <v>0</v>
      </c>
      <c r="S45" s="60">
        <f t="shared" si="0"/>
        <v>1.2001843687477103E-4</v>
      </c>
      <c r="T45" s="60">
        <f t="shared" si="1"/>
        <v>9.9339042429176551E-5</v>
      </c>
      <c r="U45" s="60">
        <f t="shared" si="2"/>
        <v>2.4003687374954207E-4</v>
      </c>
      <c r="V45" s="60">
        <f t="shared" si="9"/>
        <v>1.986780848583531E-4</v>
      </c>
      <c r="W45" s="60">
        <f t="shared" si="3"/>
        <v>0</v>
      </c>
      <c r="X45" s="60">
        <f t="shared" si="4"/>
        <v>0</v>
      </c>
      <c r="Y45" s="232">
        <f t="shared" si="5"/>
        <v>0</v>
      </c>
      <c r="Z45" s="232">
        <f t="shared" si="6"/>
        <v>0</v>
      </c>
      <c r="AA45" s="244">
        <f t="shared" si="7"/>
        <v>0</v>
      </c>
      <c r="AB45" s="244">
        <f t="shared" si="8"/>
        <v>7.9471233943341241E-4</v>
      </c>
    </row>
    <row r="46" spans="1:28" x14ac:dyDescent="0.25">
      <c r="A46" s="402"/>
      <c r="B46" s="203" t="s">
        <v>123</v>
      </c>
      <c r="C46" s="176">
        <f>'ISS A15 PB BAN'!G58</f>
        <v>0</v>
      </c>
      <c r="D46" s="96">
        <f>'ISS A15 PB BAN'!H58</f>
        <v>0</v>
      </c>
      <c r="E46" s="96">
        <f>'ISS A15 PB PAR'!G58</f>
        <v>0</v>
      </c>
      <c r="F46" s="96">
        <f>'ISS A15 PB PAR'!H58</f>
        <v>0</v>
      </c>
      <c r="G46" s="96">
        <f>'IVR A15 PB BAN'!G58</f>
        <v>0</v>
      </c>
      <c r="H46" s="96">
        <f>'IVR A15 PB BAN'!H58</f>
        <v>0</v>
      </c>
      <c r="I46" s="96">
        <f>'IVR A15 PB PAR'!G58</f>
        <v>0</v>
      </c>
      <c r="J46" s="96">
        <f>'IVR A15 PB PAR'!H58</f>
        <v>0</v>
      </c>
      <c r="K46" s="96">
        <f>'ROM A15 PB BAN'!G58</f>
        <v>0</v>
      </c>
      <c r="L46" s="96">
        <f>'ROM A15 PB BAN'!H58</f>
        <v>0</v>
      </c>
      <c r="M46" s="96">
        <f>'ROM A15 PB PAR'!G58</f>
        <v>0</v>
      </c>
      <c r="N46" s="96">
        <f>'ROM A15 PB PAR'!H58</f>
        <v>0</v>
      </c>
      <c r="O46" s="96">
        <f>'STO A15 PB BAN'!G58</f>
        <v>0</v>
      </c>
      <c r="P46" s="96">
        <f>'STO A15 PB BAN'!H58</f>
        <v>0</v>
      </c>
      <c r="Q46" s="96">
        <f>'STO A15 PB PAR '!G58</f>
        <v>0</v>
      </c>
      <c r="R46" s="96">
        <f>'STO A15 PB PAR '!H58</f>
        <v>0</v>
      </c>
      <c r="S46" s="60">
        <f t="shared" si="0"/>
        <v>0</v>
      </c>
      <c r="T46" s="60">
        <f t="shared" si="1"/>
        <v>0</v>
      </c>
      <c r="U46" s="60">
        <f t="shared" si="2"/>
        <v>0</v>
      </c>
      <c r="V46" s="60">
        <f t="shared" si="9"/>
        <v>0</v>
      </c>
      <c r="W46" s="60">
        <f t="shared" si="3"/>
        <v>0</v>
      </c>
      <c r="X46" s="60">
        <f t="shared" si="4"/>
        <v>0</v>
      </c>
      <c r="Y46" s="232">
        <f t="shared" si="5"/>
        <v>0</v>
      </c>
      <c r="Z46" s="232">
        <f t="shared" si="6"/>
        <v>0</v>
      </c>
      <c r="AA46" s="244">
        <f t="shared" si="7"/>
        <v>0</v>
      </c>
      <c r="AB46" s="244">
        <f t="shared" si="8"/>
        <v>0</v>
      </c>
    </row>
    <row r="47" spans="1:28" x14ac:dyDescent="0.25">
      <c r="A47" s="402"/>
      <c r="B47" s="203" t="s">
        <v>124</v>
      </c>
      <c r="C47" s="176">
        <f>'ISS A15 PB BAN'!G59</f>
        <v>0</v>
      </c>
      <c r="D47" s="96">
        <f>'ISS A15 PB BAN'!H59</f>
        <v>0</v>
      </c>
      <c r="E47" s="96">
        <f>'ISS A15 PB PAR'!G59</f>
        <v>0</v>
      </c>
      <c r="F47" s="96">
        <f>'ISS A15 PB PAR'!H59</f>
        <v>0</v>
      </c>
      <c r="G47" s="96">
        <f>'IVR A15 PB BAN'!G59</f>
        <v>0</v>
      </c>
      <c r="H47" s="96">
        <f>'IVR A15 PB BAN'!H59</f>
        <v>0</v>
      </c>
      <c r="I47" s="96">
        <f>'IVR A15 PB PAR'!G59</f>
        <v>0</v>
      </c>
      <c r="J47" s="96">
        <f>'IVR A15 PB PAR'!H59</f>
        <v>0</v>
      </c>
      <c r="K47" s="96">
        <f>'ROM A15 PB BAN'!G59</f>
        <v>0</v>
      </c>
      <c r="L47" s="96">
        <f>'ROM A15 PB BAN'!H59</f>
        <v>0</v>
      </c>
      <c r="M47" s="96">
        <f>'ROM A15 PB PAR'!G59</f>
        <v>0</v>
      </c>
      <c r="N47" s="96">
        <f>'ROM A15 PB PAR'!H59</f>
        <v>0</v>
      </c>
      <c r="O47" s="96">
        <f>'STO A15 PB BAN'!G59</f>
        <v>0</v>
      </c>
      <c r="P47" s="96">
        <f>'STO A15 PB BAN'!H59</f>
        <v>0</v>
      </c>
      <c r="Q47" s="96">
        <f>'STO A15 PB PAR '!G59</f>
        <v>0</v>
      </c>
      <c r="R47" s="96">
        <f>'STO A15 PB PAR '!H59</f>
        <v>0</v>
      </c>
      <c r="S47" s="60">
        <f t="shared" si="0"/>
        <v>0</v>
      </c>
      <c r="T47" s="60">
        <f t="shared" si="1"/>
        <v>0</v>
      </c>
      <c r="U47" s="60">
        <f t="shared" si="2"/>
        <v>0</v>
      </c>
      <c r="V47" s="60">
        <f t="shared" si="9"/>
        <v>0</v>
      </c>
      <c r="W47" s="60">
        <f t="shared" si="3"/>
        <v>0</v>
      </c>
      <c r="X47" s="60">
        <f t="shared" si="4"/>
        <v>0</v>
      </c>
      <c r="Y47" s="232">
        <f t="shared" si="5"/>
        <v>0</v>
      </c>
      <c r="Z47" s="232">
        <f t="shared" si="6"/>
        <v>0</v>
      </c>
      <c r="AA47" s="244">
        <f t="shared" si="7"/>
        <v>0</v>
      </c>
      <c r="AB47" s="244">
        <f t="shared" si="8"/>
        <v>0</v>
      </c>
    </row>
    <row r="48" spans="1:28" x14ac:dyDescent="0.25">
      <c r="A48" s="402"/>
      <c r="B48" s="203" t="s">
        <v>125</v>
      </c>
      <c r="C48" s="176">
        <f>'ISS A15 PB BAN'!G60</f>
        <v>0</v>
      </c>
      <c r="D48" s="96">
        <f>'ISS A15 PB BAN'!H60</f>
        <v>0</v>
      </c>
      <c r="E48" s="96">
        <f>'ISS A15 PB PAR'!G60</f>
        <v>0</v>
      </c>
      <c r="F48" s="96">
        <f>'ISS A15 PB PAR'!H60</f>
        <v>0</v>
      </c>
      <c r="G48" s="96">
        <f>'IVR A15 PB BAN'!G60</f>
        <v>0</v>
      </c>
      <c r="H48" s="96">
        <f>'IVR A15 PB BAN'!H60</f>
        <v>0</v>
      </c>
      <c r="I48" s="96">
        <f>'IVR A15 PB PAR'!G60</f>
        <v>0</v>
      </c>
      <c r="J48" s="96">
        <f>'IVR A15 PB PAR'!H60</f>
        <v>0</v>
      </c>
      <c r="K48" s="96">
        <f>'ROM A15 PB BAN'!G60</f>
        <v>0</v>
      </c>
      <c r="L48" s="96">
        <f>'ROM A15 PB BAN'!H60</f>
        <v>0</v>
      </c>
      <c r="M48" s="96">
        <f>'ROM A15 PB PAR'!G60</f>
        <v>0</v>
      </c>
      <c r="N48" s="96">
        <f>'ROM A15 PB PAR'!H60</f>
        <v>0</v>
      </c>
      <c r="O48" s="96">
        <f>'STO A15 PB BAN'!G60</f>
        <v>0</v>
      </c>
      <c r="P48" s="96">
        <f>'STO A15 PB BAN'!H60</f>
        <v>0</v>
      </c>
      <c r="Q48" s="96">
        <f>'STO A15 PB PAR '!G60</f>
        <v>0</v>
      </c>
      <c r="R48" s="96">
        <f>'STO A15 PB PAR '!H60</f>
        <v>0</v>
      </c>
      <c r="S48" s="60">
        <f t="shared" si="0"/>
        <v>0</v>
      </c>
      <c r="T48" s="60">
        <f t="shared" si="1"/>
        <v>0</v>
      </c>
      <c r="U48" s="60">
        <f t="shared" si="2"/>
        <v>0</v>
      </c>
      <c r="V48" s="60">
        <f t="shared" si="9"/>
        <v>0</v>
      </c>
      <c r="W48" s="60">
        <f t="shared" si="3"/>
        <v>0</v>
      </c>
      <c r="X48" s="60">
        <f t="shared" si="4"/>
        <v>0</v>
      </c>
      <c r="Y48" s="232">
        <f t="shared" si="5"/>
        <v>0</v>
      </c>
      <c r="Z48" s="232">
        <f t="shared" si="6"/>
        <v>0</v>
      </c>
      <c r="AA48" s="244">
        <f t="shared" si="7"/>
        <v>0</v>
      </c>
      <c r="AB48" s="244">
        <f t="shared" si="8"/>
        <v>0</v>
      </c>
    </row>
    <row r="49" spans="1:28" x14ac:dyDescent="0.25">
      <c r="A49" s="402"/>
      <c r="B49" s="203" t="s">
        <v>126</v>
      </c>
      <c r="C49" s="176">
        <f>'ISS A15 PB BAN'!G61</f>
        <v>6.6162211490931244E-3</v>
      </c>
      <c r="D49" s="96">
        <f>'ISS A15 PB BAN'!H61</f>
        <v>6.2841507223830341E-3</v>
      </c>
      <c r="E49" s="96">
        <f>'ISS A15 PB PAR'!G61</f>
        <v>0</v>
      </c>
      <c r="F49" s="96">
        <f>'ISS A15 PB PAR'!H61</f>
        <v>0</v>
      </c>
      <c r="G49" s="96">
        <f>'IVR A15 PB BAN'!G61</f>
        <v>0</v>
      </c>
      <c r="H49" s="96">
        <f>'IVR A15 PB BAN'!H61</f>
        <v>0</v>
      </c>
      <c r="I49" s="96">
        <f>'IVR A15 PB PAR'!G61</f>
        <v>2.4262349604101178E-4</v>
      </c>
      <c r="J49" s="96">
        <f>'IVR A15 PB PAR'!H61</f>
        <v>2.2774226654453611E-4</v>
      </c>
      <c r="K49" s="96">
        <f>'ROM A15 PB BAN'!G61</f>
        <v>0</v>
      </c>
      <c r="L49" s="96">
        <f>'ROM A15 PB BAN'!H61</f>
        <v>0</v>
      </c>
      <c r="M49" s="96">
        <f>'ROM A15 PB PAR'!G61</f>
        <v>0</v>
      </c>
      <c r="N49" s="96">
        <f>'ROM A15 PB PAR'!H61</f>
        <v>0</v>
      </c>
      <c r="O49" s="96">
        <f>'STO A15 PB BAN'!G61</f>
        <v>0</v>
      </c>
      <c r="P49" s="96">
        <f>'STO A15 PB BAN'!H61</f>
        <v>0</v>
      </c>
      <c r="Q49" s="96">
        <f>'STO A15 PB PAR '!G61</f>
        <v>3.0377332967351917E-2</v>
      </c>
      <c r="R49" s="96">
        <f>'STO A15 PB PAR '!H61</f>
        <v>2.8798136843109171E-2</v>
      </c>
      <c r="S49" s="60">
        <f t="shared" si="0"/>
        <v>4.6545222015607571E-3</v>
      </c>
      <c r="T49" s="60">
        <f t="shared" si="1"/>
        <v>4.4137537290045922E-3</v>
      </c>
      <c r="U49" s="60">
        <f t="shared" si="2"/>
        <v>7.6549891158482321E-3</v>
      </c>
      <c r="V49" s="60">
        <f t="shared" si="9"/>
        <v>7.2564697774134268E-3</v>
      </c>
      <c r="W49" s="60">
        <f t="shared" si="3"/>
        <v>1.6540552872732811E-3</v>
      </c>
      <c r="X49" s="60">
        <f t="shared" si="4"/>
        <v>1.5710376805957585E-3</v>
      </c>
      <c r="Y49" s="232">
        <f t="shared" si="5"/>
        <v>0</v>
      </c>
      <c r="Z49" s="232">
        <f t="shared" si="6"/>
        <v>0</v>
      </c>
      <c r="AA49" s="244">
        <f t="shared" si="7"/>
        <v>0</v>
      </c>
      <c r="AB49" s="244">
        <f t="shared" si="8"/>
        <v>2.8798136843109171E-2</v>
      </c>
    </row>
    <row r="50" spans="1:28" ht="25.5" x14ac:dyDescent="0.25">
      <c r="A50" s="402"/>
      <c r="B50" s="203" t="s">
        <v>73</v>
      </c>
      <c r="C50" s="176">
        <f>'ISS A15 PB BAN'!G62</f>
        <v>0</v>
      </c>
      <c r="D50" s="96">
        <f>'ISS A15 PB BAN'!H62</f>
        <v>0</v>
      </c>
      <c r="E50" s="96">
        <f>'ISS A15 PB PAR'!G62</f>
        <v>0</v>
      </c>
      <c r="F50" s="96">
        <f>'ISS A15 PB PAR'!H62</f>
        <v>0</v>
      </c>
      <c r="G50" s="96">
        <f>'IVR A15 PB BAN'!G62</f>
        <v>0</v>
      </c>
      <c r="H50" s="96">
        <f>'IVR A15 PB BAN'!H62</f>
        <v>0</v>
      </c>
      <c r="I50" s="96">
        <f>'IVR A15 PB PAR'!G62</f>
        <v>5.6675758232501514E-3</v>
      </c>
      <c r="J50" s="96">
        <f>'IVR A15 PB PAR'!H62</f>
        <v>5.3199569904055118E-3</v>
      </c>
      <c r="K50" s="96">
        <f>'ROM A15 PB BAN'!G62</f>
        <v>0</v>
      </c>
      <c r="L50" s="96">
        <f>'ROM A15 PB BAN'!H62</f>
        <v>0</v>
      </c>
      <c r="M50" s="96">
        <f>'ROM A15 PB PAR'!G62</f>
        <v>0</v>
      </c>
      <c r="N50" s="96">
        <f>'ROM A15 PB PAR'!H62</f>
        <v>0</v>
      </c>
      <c r="O50" s="96">
        <f>'STO A15 PB BAN'!G62</f>
        <v>0</v>
      </c>
      <c r="P50" s="96">
        <f>'STO A15 PB BAN'!H62</f>
        <v>0</v>
      </c>
      <c r="Q50" s="96">
        <f>'STO A15 PB PAR '!G62</f>
        <v>0</v>
      </c>
      <c r="R50" s="96">
        <f>'STO A15 PB PAR '!H62</f>
        <v>0</v>
      </c>
      <c r="S50" s="60">
        <f t="shared" si="0"/>
        <v>7.0844697790626893E-4</v>
      </c>
      <c r="T50" s="60">
        <f t="shared" si="1"/>
        <v>6.6499462380068897E-4</v>
      </c>
      <c r="U50" s="60">
        <f t="shared" si="2"/>
        <v>1.4168939558125379E-3</v>
      </c>
      <c r="V50" s="60">
        <f t="shared" si="9"/>
        <v>1.3299892476013779E-3</v>
      </c>
      <c r="W50" s="60">
        <f t="shared" si="3"/>
        <v>0</v>
      </c>
      <c r="X50" s="60">
        <f t="shared" si="4"/>
        <v>0</v>
      </c>
      <c r="Y50" s="232">
        <f t="shared" si="5"/>
        <v>0</v>
      </c>
      <c r="Z50" s="232">
        <f t="shared" si="6"/>
        <v>0</v>
      </c>
      <c r="AA50" s="244">
        <f t="shared" si="7"/>
        <v>0</v>
      </c>
      <c r="AB50" s="244">
        <f t="shared" si="8"/>
        <v>5.3199569904055118E-3</v>
      </c>
    </row>
    <row r="51" spans="1:28" x14ac:dyDescent="0.25">
      <c r="A51" s="408" t="s">
        <v>74</v>
      </c>
      <c r="B51" s="408"/>
      <c r="C51" s="174">
        <f>'ISS A15 PB BAN'!G63</f>
        <v>9.6125327959237977E-2</v>
      </c>
      <c r="D51" s="111">
        <f>'ISS A15 PB BAN'!H63</f>
        <v>4.7150004756023801E-2</v>
      </c>
      <c r="E51" s="111">
        <f>'ISS A15 PB PAR'!G63</f>
        <v>9.8131670439586663E-2</v>
      </c>
      <c r="F51" s="111">
        <f>'ISS A15 PB PAR'!H63</f>
        <v>4.8080895082374724E-2</v>
      </c>
      <c r="G51" s="111">
        <f>'IVR A15 PB BAN'!G63</f>
        <v>0.11025584159600103</v>
      </c>
      <c r="H51" s="111">
        <f>'IVR A15 PB BAN'!H63</f>
        <v>5.4004679613340406E-2</v>
      </c>
      <c r="I51" s="111">
        <f>'IVR A15 PB PAR'!G63</f>
        <v>7.8212001139512627E-2</v>
      </c>
      <c r="J51" s="111">
        <f>'IVR A15 PB PAR'!H63</f>
        <v>3.838311480725036E-2</v>
      </c>
      <c r="K51" s="111">
        <f>'ROM A15 PB BAN'!G63</f>
        <v>0.12443881634166816</v>
      </c>
      <c r="L51" s="111">
        <f>'ROM A15 PB BAN'!H63</f>
        <v>6.1044261766321259E-2</v>
      </c>
      <c r="M51" s="111">
        <f>'ROM A15 PB PAR'!G63</f>
        <v>0.13675087229588273</v>
      </c>
      <c r="N51" s="111">
        <f>'ROM A15 PB PAR'!H63</f>
        <v>6.7017144610458712E-2</v>
      </c>
      <c r="O51" s="111">
        <f>'STO A15 PB BAN'!G63</f>
        <v>8.1625989855910533E-2</v>
      </c>
      <c r="P51" s="111">
        <f>'STO A15 PB BAN'!H63</f>
        <v>4.0135954492021141E-2</v>
      </c>
      <c r="Q51" s="111">
        <f>'STO A15 PB PAR '!G63</f>
        <v>0.12674952030605854</v>
      </c>
      <c r="R51" s="111">
        <f>'STO A15 PB PAR '!H63</f>
        <v>6.2182679777819959E-2</v>
      </c>
      <c r="S51" s="62">
        <f t="shared" si="0"/>
        <v>0.1065362549917323</v>
      </c>
      <c r="T51" s="62">
        <f t="shared" si="1"/>
        <v>5.2249841863201293E-2</v>
      </c>
      <c r="U51" s="62">
        <f t="shared" si="2"/>
        <v>0.10996101604526015</v>
      </c>
      <c r="V51" s="62">
        <f t="shared" si="9"/>
        <v>5.3915958569475939E-2</v>
      </c>
      <c r="W51" s="62">
        <f t="shared" si="3"/>
        <v>0.10311149393820442</v>
      </c>
      <c r="X51" s="62">
        <f t="shared" si="4"/>
        <v>5.0583725156926655E-2</v>
      </c>
      <c r="Y51" s="232">
        <f t="shared" si="5"/>
        <v>0</v>
      </c>
      <c r="Z51" s="232">
        <f t="shared" si="6"/>
        <v>0</v>
      </c>
      <c r="AA51" s="31">
        <f t="shared" si="7"/>
        <v>3.838311480725036E-2</v>
      </c>
      <c r="AB51" s="31">
        <f t="shared" si="8"/>
        <v>6.7017144610458712E-2</v>
      </c>
    </row>
    <row r="52" spans="1:28" ht="14.25" customHeight="1" x14ac:dyDescent="0.25">
      <c r="A52" s="409" t="s">
        <v>25</v>
      </c>
      <c r="B52" s="409"/>
      <c r="C52" s="174">
        <f>SUM(C6:C51)</f>
        <v>1</v>
      </c>
      <c r="D52" s="174">
        <f t="shared" ref="D52:Z52" si="10">SUM(D6:D51)</f>
        <v>1</v>
      </c>
      <c r="E52" s="174">
        <f t="shared" si="10"/>
        <v>1</v>
      </c>
      <c r="F52" s="174">
        <f t="shared" si="10"/>
        <v>1.0000000000000002</v>
      </c>
      <c r="G52" s="174">
        <f t="shared" si="10"/>
        <v>0.99999999999999989</v>
      </c>
      <c r="H52" s="174">
        <f t="shared" si="10"/>
        <v>1</v>
      </c>
      <c r="I52" s="174">
        <f t="shared" si="10"/>
        <v>1.0000000000000002</v>
      </c>
      <c r="J52" s="174">
        <f t="shared" si="10"/>
        <v>1.0000000000000002</v>
      </c>
      <c r="K52" s="174">
        <f t="shared" si="10"/>
        <v>1</v>
      </c>
      <c r="L52" s="174">
        <f t="shared" si="10"/>
        <v>1</v>
      </c>
      <c r="M52" s="174">
        <f t="shared" si="10"/>
        <v>0.99999999999999978</v>
      </c>
      <c r="N52" s="174">
        <f t="shared" si="10"/>
        <v>1</v>
      </c>
      <c r="O52" s="174">
        <f t="shared" si="10"/>
        <v>0.99999999999999978</v>
      </c>
      <c r="P52" s="174">
        <f t="shared" si="10"/>
        <v>0.99999999999999989</v>
      </c>
      <c r="Q52" s="174">
        <f t="shared" si="10"/>
        <v>1</v>
      </c>
      <c r="R52" s="174">
        <f t="shared" si="10"/>
        <v>1.0000000000000002</v>
      </c>
      <c r="S52" s="174">
        <f t="shared" si="10"/>
        <v>0.99999999999999978</v>
      </c>
      <c r="T52" s="174">
        <f t="shared" si="10"/>
        <v>1</v>
      </c>
      <c r="U52" s="174">
        <f t="shared" si="10"/>
        <v>0.99999999999999978</v>
      </c>
      <c r="V52" s="174">
        <f t="shared" si="10"/>
        <v>1</v>
      </c>
      <c r="W52" s="174">
        <f t="shared" si="10"/>
        <v>0.99999999999999978</v>
      </c>
      <c r="X52" s="174">
        <f t="shared" si="10"/>
        <v>1.0000000000000002</v>
      </c>
      <c r="Y52" s="233">
        <f t="shared" si="10"/>
        <v>0</v>
      </c>
      <c r="Z52" s="233">
        <f t="shared" si="10"/>
        <v>0</v>
      </c>
    </row>
    <row r="53" spans="1:28" hidden="1" x14ac:dyDescent="0.25">
      <c r="A53" s="170"/>
      <c r="B53" s="171"/>
      <c r="C53" s="172"/>
      <c r="D53" s="172"/>
      <c r="E53" s="111">
        <f>'ISS A15 PB PAR'!G65</f>
        <v>0</v>
      </c>
      <c r="F53" s="111">
        <f>'ISS A15 PB PAR'!H65</f>
        <v>0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</row>
    <row r="55" spans="1:28" x14ac:dyDescent="0.25">
      <c r="B55" s="27"/>
      <c r="C55" s="384" t="str">
        <f>C1</f>
        <v>ISS-A15-PB-BAN</v>
      </c>
      <c r="D55" s="384"/>
      <c r="E55" s="384" t="str">
        <f>E1</f>
        <v>ISS-A15-PB-PAR</v>
      </c>
      <c r="F55" s="384"/>
      <c r="G55" s="384" t="str">
        <f>G1</f>
        <v>IVR-A15-PB-BAN</v>
      </c>
      <c r="H55" s="384"/>
      <c r="I55" s="384" t="str">
        <f>I1</f>
        <v>IVR-A15-PB-PAR</v>
      </c>
      <c r="J55" s="384"/>
      <c r="K55" s="384" t="str">
        <f>K1</f>
        <v>ROM-A15-PB-BAN</v>
      </c>
      <c r="L55" s="384"/>
      <c r="M55" s="384" t="str">
        <f>M1</f>
        <v>ROM-A15-PB-PAR</v>
      </c>
      <c r="N55" s="384"/>
      <c r="O55" s="384" t="str">
        <f>O1</f>
        <v>STO-A15-PB-BAN</v>
      </c>
      <c r="P55" s="384"/>
      <c r="Q55" s="384" t="str">
        <f>Q1</f>
        <v>STO-A15-PB-PAR</v>
      </c>
      <c r="R55" s="384"/>
      <c r="S55" s="395" t="s">
        <v>76</v>
      </c>
      <c r="T55" s="396"/>
      <c r="U55" s="397" t="s">
        <v>77</v>
      </c>
      <c r="V55" s="397"/>
      <c r="W55" s="397" t="s">
        <v>78</v>
      </c>
      <c r="X55" s="397"/>
    </row>
    <row r="56" spans="1:28" x14ac:dyDescent="0.25">
      <c r="B56" s="27"/>
      <c r="C56" s="29" t="s">
        <v>80</v>
      </c>
      <c r="D56" s="29" t="s">
        <v>81</v>
      </c>
      <c r="E56" s="29" t="s">
        <v>80</v>
      </c>
      <c r="F56" s="29" t="s">
        <v>81</v>
      </c>
      <c r="G56" s="29" t="s">
        <v>80</v>
      </c>
      <c r="H56" s="29" t="s">
        <v>81</v>
      </c>
      <c r="I56" s="29" t="s">
        <v>80</v>
      </c>
      <c r="J56" s="29" t="s">
        <v>81</v>
      </c>
      <c r="K56" s="29" t="s">
        <v>80</v>
      </c>
      <c r="L56" s="29" t="s">
        <v>81</v>
      </c>
      <c r="M56" s="29" t="s">
        <v>80</v>
      </c>
      <c r="N56" s="29" t="s">
        <v>81</v>
      </c>
      <c r="O56" s="29" t="s">
        <v>80</v>
      </c>
      <c r="P56" s="29" t="s">
        <v>81</v>
      </c>
      <c r="Q56" s="29" t="s">
        <v>80</v>
      </c>
      <c r="R56" s="29" t="s">
        <v>81</v>
      </c>
      <c r="S56" s="29" t="s">
        <v>80</v>
      </c>
      <c r="T56" s="29" t="s">
        <v>81</v>
      </c>
      <c r="U56" s="29" t="s">
        <v>80</v>
      </c>
      <c r="V56" s="29" t="s">
        <v>81</v>
      </c>
      <c r="W56" s="29" t="s">
        <v>80</v>
      </c>
      <c r="X56" s="29" t="s">
        <v>81</v>
      </c>
      <c r="Y56" s="69" t="s">
        <v>100</v>
      </c>
    </row>
    <row r="57" spans="1:28" x14ac:dyDescent="0.25">
      <c r="A57" s="39">
        <f>AVERAGE(F57,H57,J57,L57,N57,P57,R57)</f>
        <v>0.2285632418446695</v>
      </c>
      <c r="B57" s="30" t="s">
        <v>82</v>
      </c>
      <c r="C57" s="31">
        <f>SUM(C6:C10)</f>
        <v>5.1218677516255369E-2</v>
      </c>
      <c r="D57" s="31">
        <f t="shared" ref="D57:X57" si="11">SUM(D6:D10)</f>
        <v>0.11653734776138813</v>
      </c>
      <c r="E57" s="31">
        <f t="shared" si="11"/>
        <v>0.15952748486044022</v>
      </c>
      <c r="F57" s="31">
        <f t="shared" si="11"/>
        <v>0.31546780933357849</v>
      </c>
      <c r="G57" s="31">
        <f t="shared" si="11"/>
        <v>0.17846490058633999</v>
      </c>
      <c r="H57" s="31">
        <f t="shared" si="11"/>
        <v>0.34941756689539777</v>
      </c>
      <c r="I57" s="31">
        <f t="shared" si="11"/>
        <v>5.8599026507298473E-2</v>
      </c>
      <c r="J57" s="31">
        <f t="shared" si="11"/>
        <v>0.1318740483934796</v>
      </c>
      <c r="K57" s="31">
        <f t="shared" si="11"/>
        <v>0.11755480080420058</v>
      </c>
      <c r="L57" s="31">
        <f t="shared" si="11"/>
        <v>0.25052054299495841</v>
      </c>
      <c r="M57" s="31">
        <f t="shared" si="11"/>
        <v>0.15401674808094901</v>
      </c>
      <c r="N57" s="195">
        <f t="shared" si="11"/>
        <v>0.31422924392444707</v>
      </c>
      <c r="O57" s="31">
        <f t="shared" si="11"/>
        <v>3.7467391795998138E-2</v>
      </c>
      <c r="P57" s="31">
        <f t="shared" si="11"/>
        <v>8.5284843409244082E-2</v>
      </c>
      <c r="Q57" s="31">
        <f t="shared" si="11"/>
        <v>6.7484171084929157E-2</v>
      </c>
      <c r="R57" s="195">
        <f t="shared" si="11"/>
        <v>0.15314863796158112</v>
      </c>
      <c r="S57" s="31">
        <f t="shared" si="11"/>
        <v>0.10304165015455136</v>
      </c>
      <c r="T57" s="31">
        <f>SUM(T6:T10)</f>
        <v>0.21456000508425935</v>
      </c>
      <c r="U57" s="31">
        <f t="shared" si="11"/>
        <v>0.1099068576334042</v>
      </c>
      <c r="V57" s="31">
        <f>SUM(V6:V10)</f>
        <v>0.22867993490327157</v>
      </c>
      <c r="W57" s="31">
        <f t="shared" si="11"/>
        <v>9.6176442675698526E-2</v>
      </c>
      <c r="X57" s="31">
        <f t="shared" si="11"/>
        <v>0.20044007526524715</v>
      </c>
      <c r="Y57" s="34">
        <v>0.30930000000000002</v>
      </c>
      <c r="Z57" s="39"/>
    </row>
    <row r="58" spans="1:28" x14ac:dyDescent="0.25">
      <c r="B58" s="30" t="s">
        <v>31</v>
      </c>
      <c r="C58" s="31">
        <f>SUM(C11:C15)</f>
        <v>0.16082360546028365</v>
      </c>
      <c r="D58" s="31">
        <f t="shared" ref="D58:X58" si="12">SUM(D11:D15)</f>
        <v>0.1498688981473115</v>
      </c>
      <c r="E58" s="31">
        <f t="shared" si="12"/>
        <v>8.4015459396102998E-2</v>
      </c>
      <c r="F58" s="195">
        <f t="shared" si="12"/>
        <v>6.8189459579307596E-2</v>
      </c>
      <c r="G58" s="31">
        <f t="shared" si="12"/>
        <v>6.3642683957010046E-2</v>
      </c>
      <c r="H58" s="31">
        <f t="shared" si="12"/>
        <v>5.1053135147769914E-2</v>
      </c>
      <c r="I58" s="31">
        <f t="shared" si="12"/>
        <v>0.15510184053093659</v>
      </c>
      <c r="J58" s="195">
        <f t="shared" si="12"/>
        <v>0.14286545574431972</v>
      </c>
      <c r="K58" s="31">
        <f t="shared" si="12"/>
        <v>0.13232173879096643</v>
      </c>
      <c r="L58" s="31">
        <f t="shared" si="12"/>
        <v>0.11528136784019641</v>
      </c>
      <c r="M58" s="31">
        <f t="shared" si="12"/>
        <v>0.15691137473831118</v>
      </c>
      <c r="N58" s="31">
        <f t="shared" si="12"/>
        <v>0.13126841440897821</v>
      </c>
      <c r="O58" s="31">
        <f t="shared" si="12"/>
        <v>7.9620094022702065E-2</v>
      </c>
      <c r="P58" s="31">
        <f t="shared" si="12"/>
        <v>7.3840441317509567E-2</v>
      </c>
      <c r="Q58" s="31">
        <f t="shared" si="12"/>
        <v>0.14674497618275256</v>
      </c>
      <c r="R58" s="31">
        <f t="shared" si="12"/>
        <v>0.1364709081849117</v>
      </c>
      <c r="S58" s="31">
        <f t="shared" si="12"/>
        <v>0.12239772163488319</v>
      </c>
      <c r="T58" s="31">
        <f t="shared" si="12"/>
        <v>0.10860476004628808</v>
      </c>
      <c r="U58" s="31">
        <f t="shared" si="12"/>
        <v>0.13569341271202584</v>
      </c>
      <c r="V58" s="31">
        <f t="shared" si="12"/>
        <v>0.1196985594793793</v>
      </c>
      <c r="W58" s="31">
        <f t="shared" si="12"/>
        <v>0.10910203055774054</v>
      </c>
      <c r="X58" s="31">
        <f t="shared" si="12"/>
        <v>9.7510960613196848E-2</v>
      </c>
      <c r="Y58" s="42">
        <v>0.1033</v>
      </c>
      <c r="Z58" s="39">
        <f>AVERAGE(F58,N58,R58)</f>
        <v>0.11197626072439916</v>
      </c>
      <c r="AA58" s="39">
        <f>AVERAGE(D59,F59,J59,L59,N59,P59,R59)</f>
        <v>7.7357123690076232E-2</v>
      </c>
    </row>
    <row r="59" spans="1:28" x14ac:dyDescent="0.25">
      <c r="B59" s="30" t="s">
        <v>37</v>
      </c>
      <c r="C59" s="31">
        <f>SUM(C16:C18)</f>
        <v>9.6828776759572605E-2</v>
      </c>
      <c r="D59" s="31">
        <f t="shared" ref="D59:X59" si="13">SUM(D16:D18)</f>
        <v>9.0244069423453394E-2</v>
      </c>
      <c r="E59" s="31">
        <f t="shared" si="13"/>
        <v>5.083121279481656E-2</v>
      </c>
      <c r="F59" s="31">
        <f t="shared" si="13"/>
        <v>4.125957924287034E-2</v>
      </c>
      <c r="G59" s="31">
        <f t="shared" si="13"/>
        <v>0.15737609736284053</v>
      </c>
      <c r="H59" s="31">
        <f t="shared" si="13"/>
        <v>0.12625902044351645</v>
      </c>
      <c r="I59" s="31">
        <f t="shared" si="13"/>
        <v>7.8222905566301001E-2</v>
      </c>
      <c r="J59" s="31">
        <f t="shared" si="13"/>
        <v>7.2061246826269021E-2</v>
      </c>
      <c r="K59" s="31">
        <f t="shared" si="13"/>
        <v>0.11100944740489156</v>
      </c>
      <c r="L59" s="31">
        <f t="shared" si="13"/>
        <v>9.6728533429732269E-2</v>
      </c>
      <c r="M59" s="31">
        <f t="shared" si="13"/>
        <v>6.7532449406838779E-2</v>
      </c>
      <c r="N59" s="31">
        <f t="shared" si="13"/>
        <v>5.6501749600846168E-2</v>
      </c>
      <c r="O59" s="31">
        <f t="shared" si="13"/>
        <v>9.9847647640853923E-2</v>
      </c>
      <c r="P59" s="31">
        <f t="shared" si="13"/>
        <v>9.2619499857249404E-2</v>
      </c>
      <c r="Q59" s="31">
        <f t="shared" si="13"/>
        <v>9.9006728191819798E-2</v>
      </c>
      <c r="R59" s="31">
        <f t="shared" si="13"/>
        <v>9.2085187450113043E-2</v>
      </c>
      <c r="S59" s="31">
        <f t="shared" si="13"/>
        <v>9.508190814099185E-2</v>
      </c>
      <c r="T59" s="31">
        <f t="shared" si="13"/>
        <v>8.346986078425625E-2</v>
      </c>
      <c r="U59" s="31">
        <f t="shared" si="13"/>
        <v>7.3898323989944031E-2</v>
      </c>
      <c r="V59" s="31">
        <f t="shared" si="13"/>
        <v>6.5476940780024653E-2</v>
      </c>
      <c r="W59" s="31">
        <f t="shared" si="13"/>
        <v>0.11626549229203967</v>
      </c>
      <c r="X59" s="31">
        <f t="shared" si="13"/>
        <v>0.10146278078848787</v>
      </c>
      <c r="Y59" s="34">
        <v>5.6899999999999999E-2</v>
      </c>
      <c r="Z59" s="39"/>
    </row>
    <row r="60" spans="1:28" x14ac:dyDescent="0.25">
      <c r="B60" s="30" t="s">
        <v>83</v>
      </c>
      <c r="C60" s="31">
        <f>SUM(C19:C22)</f>
        <v>4.863302787178219E-2</v>
      </c>
      <c r="D60" s="31">
        <f t="shared" ref="D60:X60" si="14">SUM(D19:D22)</f>
        <v>5.7051746368734266E-2</v>
      </c>
      <c r="E60" s="31">
        <f t="shared" si="14"/>
        <v>2.1839099538269499E-2</v>
      </c>
      <c r="F60" s="31">
        <f t="shared" si="14"/>
        <v>2.2318396366936652E-2</v>
      </c>
      <c r="G60" s="31">
        <f t="shared" si="14"/>
        <v>2.2824399518568277E-2</v>
      </c>
      <c r="H60" s="31">
        <f t="shared" si="14"/>
        <v>2.3049708241490149E-2</v>
      </c>
      <c r="I60" s="31">
        <f t="shared" si="14"/>
        <v>2.6932571113900839E-2</v>
      </c>
      <c r="J60" s="31">
        <f t="shared" si="14"/>
        <v>3.1227318130169875E-2</v>
      </c>
      <c r="K60" s="31">
        <f t="shared" si="14"/>
        <v>1.1377876676231196E-2</v>
      </c>
      <c r="L60" s="31">
        <f t="shared" si="14"/>
        <v>1.2476199078628366E-2</v>
      </c>
      <c r="M60" s="31">
        <f t="shared" si="14"/>
        <v>9.6831821353803235E-3</v>
      </c>
      <c r="N60" s="31">
        <f t="shared" si="14"/>
        <v>1.0198861505683551E-2</v>
      </c>
      <c r="O60" s="31">
        <f t="shared" si="14"/>
        <v>5.3006185463524709E-2</v>
      </c>
      <c r="P60" s="195">
        <f t="shared" si="14"/>
        <v>6.1849843914138142E-2</v>
      </c>
      <c r="Q60" s="31">
        <f t="shared" si="14"/>
        <v>7.7420829158037045E-3</v>
      </c>
      <c r="R60" s="31">
        <f t="shared" si="14"/>
        <v>9.0643243074044182E-3</v>
      </c>
      <c r="S60" s="31">
        <f t="shared" si="14"/>
        <v>2.5254803154182597E-2</v>
      </c>
      <c r="T60" s="31">
        <f t="shared" si="14"/>
        <v>2.8404549739148178E-2</v>
      </c>
      <c r="U60" s="31">
        <f t="shared" si="14"/>
        <v>1.6549233925838593E-2</v>
      </c>
      <c r="V60" s="31">
        <f t="shared" si="14"/>
        <v>1.8202225077548626E-2</v>
      </c>
      <c r="W60" s="31">
        <f t="shared" si="14"/>
        <v>3.3960372382526596E-2</v>
      </c>
      <c r="X60" s="31">
        <f t="shared" si="14"/>
        <v>3.8606874400747733E-2</v>
      </c>
      <c r="Y60" s="42">
        <v>1.6899999999999998E-2</v>
      </c>
      <c r="Z60" s="39"/>
    </row>
    <row r="61" spans="1:28" x14ac:dyDescent="0.25">
      <c r="B61" s="30" t="s">
        <v>46</v>
      </c>
      <c r="C61" s="31">
        <f>C23</f>
        <v>2.4620708011711474E-2</v>
      </c>
      <c r="D61" s="31">
        <f t="shared" ref="D61:X61" si="15">D23</f>
        <v>2.2927546772241115E-2</v>
      </c>
      <c r="E61" s="31">
        <f t="shared" si="15"/>
        <v>3.4028631632348628E-2</v>
      </c>
      <c r="F61" s="31">
        <f t="shared" si="15"/>
        <v>2.7605271908570667E-2</v>
      </c>
      <c r="G61" s="31">
        <f t="shared" si="15"/>
        <v>3.3578119276456968E-3</v>
      </c>
      <c r="H61" s="31">
        <f t="shared" si="15"/>
        <v>2.6917940804430745E-3</v>
      </c>
      <c r="I61" s="31">
        <f t="shared" si="15"/>
        <v>2.4878449717643511E-2</v>
      </c>
      <c r="J61" s="31">
        <f t="shared" si="15"/>
        <v>2.2898110377078826E-2</v>
      </c>
      <c r="K61" s="31">
        <f t="shared" si="15"/>
        <v>5.228718939704477E-2</v>
      </c>
      <c r="L61" s="31">
        <f t="shared" si="15"/>
        <v>4.551304623056069E-2</v>
      </c>
      <c r="M61" s="31">
        <f t="shared" si="15"/>
        <v>5.8340544312630825E-2</v>
      </c>
      <c r="N61" s="31">
        <f t="shared" si="15"/>
        <v>4.877793547467757E-2</v>
      </c>
      <c r="O61" s="31">
        <f t="shared" si="15"/>
        <v>5.1187426085950907E-2</v>
      </c>
      <c r="P61" s="31">
        <f t="shared" si="15"/>
        <v>4.741274437674764E-2</v>
      </c>
      <c r="Q61" s="31">
        <f t="shared" si="15"/>
        <v>3.3545085977176946E-2</v>
      </c>
      <c r="R61" s="31">
        <f t="shared" si="15"/>
        <v>3.1176395978260558E-2</v>
      </c>
      <c r="S61" s="31">
        <f t="shared" si="15"/>
        <v>3.5280730882769097E-2</v>
      </c>
      <c r="T61" s="31">
        <f t="shared" si="15"/>
        <v>3.1125355649822516E-2</v>
      </c>
      <c r="U61" s="31">
        <f t="shared" si="15"/>
        <v>3.7698177909949976E-2</v>
      </c>
      <c r="V61" s="31">
        <f t="shared" si="15"/>
        <v>3.2614428434646903E-2</v>
      </c>
      <c r="W61" s="31">
        <f>W23</f>
        <v>3.2863283855588211E-2</v>
      </c>
      <c r="X61" s="31">
        <f t="shared" si="15"/>
        <v>2.9636282864998129E-2</v>
      </c>
      <c r="Y61" s="34">
        <v>2.3199999999999998E-2</v>
      </c>
      <c r="Z61" s="39"/>
    </row>
    <row r="62" spans="1:28" x14ac:dyDescent="0.25">
      <c r="B62" s="30" t="s">
        <v>47</v>
      </c>
      <c r="C62" s="31">
        <f>SUM(C24:C25)</f>
        <v>0.19373360203810031</v>
      </c>
      <c r="D62" s="31">
        <f t="shared" ref="D62:X62" si="16">SUM(D24:D25)</f>
        <v>0.18548407507536241</v>
      </c>
      <c r="E62" s="31">
        <f t="shared" si="16"/>
        <v>0.1784308142655105</v>
      </c>
      <c r="F62" s="31">
        <f t="shared" si="16"/>
        <v>0.14850388345516141</v>
      </c>
      <c r="G62" s="31">
        <f t="shared" si="16"/>
        <v>0.16737477666501371</v>
      </c>
      <c r="H62" s="31">
        <f t="shared" si="16"/>
        <v>0.13789902139323976</v>
      </c>
      <c r="I62" s="31">
        <f t="shared" si="16"/>
        <v>0.14407746504790453</v>
      </c>
      <c r="J62" s="31">
        <f t="shared" si="16"/>
        <v>0.13642815569467115</v>
      </c>
      <c r="K62" s="31">
        <f t="shared" si="16"/>
        <v>6.7508930139954321E-2</v>
      </c>
      <c r="L62" s="31">
        <f t="shared" si="16"/>
        <v>6.052796918135038E-2</v>
      </c>
      <c r="M62" s="31">
        <f t="shared" si="16"/>
        <v>0.10437962316817859</v>
      </c>
      <c r="N62" s="31">
        <f t="shared" si="16"/>
        <v>8.9620048155475918E-2</v>
      </c>
      <c r="O62" s="31">
        <f t="shared" si="16"/>
        <v>9.3804519931821984E-2</v>
      </c>
      <c r="P62" s="31">
        <f t="shared" si="16"/>
        <v>8.9804909456383308E-2</v>
      </c>
      <c r="Q62" s="31">
        <f t="shared" si="16"/>
        <v>0.10821054788205772</v>
      </c>
      <c r="R62" s="31">
        <f t="shared" si="16"/>
        <v>0.10333982193910934</v>
      </c>
      <c r="S62" s="31">
        <f t="shared" si="16"/>
        <v>0.1321900348923177</v>
      </c>
      <c r="T62" s="31">
        <f t="shared" si="16"/>
        <v>0.1189509855438442</v>
      </c>
      <c r="U62" s="31">
        <f t="shared" si="16"/>
        <v>0.13377461259091283</v>
      </c>
      <c r="V62" s="31">
        <f t="shared" si="16"/>
        <v>0.11947297731110446</v>
      </c>
      <c r="W62" s="31">
        <f t="shared" si="16"/>
        <v>0.13060545719372257</v>
      </c>
      <c r="X62" s="31">
        <f t="shared" si="16"/>
        <v>0.11842899377658396</v>
      </c>
      <c r="Y62" s="42">
        <v>0.105</v>
      </c>
      <c r="Z62" s="39"/>
    </row>
    <row r="63" spans="1:28" x14ac:dyDescent="0.25">
      <c r="B63" s="30" t="s">
        <v>50</v>
      </c>
      <c r="C63" s="31">
        <f>SUM(C26:C30)</f>
        <v>0.18749762348378263</v>
      </c>
      <c r="D63" s="31">
        <f t="shared" ref="D63:X63" si="17">SUM(D26:D30)</f>
        <v>0.1969930327555233</v>
      </c>
      <c r="E63" s="31">
        <f t="shared" si="17"/>
        <v>0.21923963638669597</v>
      </c>
      <c r="F63" s="31">
        <f t="shared" si="17"/>
        <v>0.20064396230094009</v>
      </c>
      <c r="G63" s="31">
        <f t="shared" si="17"/>
        <v>0.15054709284505724</v>
      </c>
      <c r="H63" s="195">
        <f t="shared" si="17"/>
        <v>0.13615990838986267</v>
      </c>
      <c r="I63" s="31">
        <f t="shared" si="17"/>
        <v>0.19900442583422276</v>
      </c>
      <c r="J63" s="31">
        <f t="shared" si="17"/>
        <v>0.20665651769448698</v>
      </c>
      <c r="K63" s="31">
        <f t="shared" si="17"/>
        <v>0.19780943178934632</v>
      </c>
      <c r="L63" s="195">
        <f t="shared" si="17"/>
        <v>0.19427615673925294</v>
      </c>
      <c r="M63" s="31">
        <f t="shared" si="17"/>
        <v>0.15158548499651076</v>
      </c>
      <c r="N63" s="31">
        <f t="shared" si="17"/>
        <v>0.14298398263817777</v>
      </c>
      <c r="O63" s="31">
        <f t="shared" si="17"/>
        <v>0.3439529247466101</v>
      </c>
      <c r="P63" s="195">
        <f t="shared" si="17"/>
        <v>0.35952175836181433</v>
      </c>
      <c r="Q63" s="31">
        <f t="shared" si="17"/>
        <v>0.18554995055310913</v>
      </c>
      <c r="R63" s="31">
        <f t="shared" si="17"/>
        <v>0.19455648932103681</v>
      </c>
      <c r="S63" s="31">
        <f t="shared" si="17"/>
        <v>0.20439832132941685</v>
      </c>
      <c r="T63" s="31">
        <f t="shared" si="17"/>
        <v>0.20397397602513687</v>
      </c>
      <c r="U63" s="31">
        <f t="shared" si="17"/>
        <v>0.18884487444263465</v>
      </c>
      <c r="V63" s="31">
        <f t="shared" si="17"/>
        <v>0.18621023798866043</v>
      </c>
      <c r="W63" s="31">
        <f t="shared" si="17"/>
        <v>0.21995176821619905</v>
      </c>
      <c r="X63" s="31">
        <f t="shared" si="17"/>
        <v>0.2217377140616133</v>
      </c>
      <c r="Y63" s="34">
        <v>0.1143</v>
      </c>
      <c r="Z63" s="39"/>
    </row>
    <row r="64" spans="1:28" x14ac:dyDescent="0.25">
      <c r="B64" s="30" t="s">
        <v>56</v>
      </c>
      <c r="C64" s="31">
        <f>C31</f>
        <v>2.3784174303205449E-2</v>
      </c>
      <c r="D64" s="31">
        <f t="shared" ref="D64:X64" si="18">D31</f>
        <v>2.2618274307910601E-2</v>
      </c>
      <c r="E64" s="31">
        <f t="shared" si="18"/>
        <v>1.4450304919181209E-2</v>
      </c>
      <c r="F64" s="31">
        <f t="shared" si="18"/>
        <v>1.1970669047025923E-2</v>
      </c>
      <c r="G64" s="31">
        <f t="shared" si="18"/>
        <v>4.328524830365086E-2</v>
      </c>
      <c r="H64" s="31">
        <f t="shared" si="18"/>
        <v>3.5435306556547176E-2</v>
      </c>
      <c r="I64" s="31">
        <f t="shared" si="18"/>
        <v>7.9466010220174098E-3</v>
      </c>
      <c r="J64" s="31">
        <f t="shared" si="18"/>
        <v>7.4692748602863878E-3</v>
      </c>
      <c r="K64" s="31">
        <f t="shared" si="18"/>
        <v>1.5387655911459866E-2</v>
      </c>
      <c r="L64" s="31">
        <f t="shared" si="18"/>
        <v>1.3678717373608975E-2</v>
      </c>
      <c r="M64" s="31">
        <f t="shared" si="18"/>
        <v>4.2147941381716666E-2</v>
      </c>
      <c r="N64" s="31">
        <f t="shared" si="18"/>
        <v>3.5985901301680202E-2</v>
      </c>
      <c r="O64" s="31">
        <f t="shared" si="18"/>
        <v>2.8468025515926358E-2</v>
      </c>
      <c r="P64" s="31">
        <f t="shared" si="18"/>
        <v>2.6931131873929651E-2</v>
      </c>
      <c r="Q64" s="31">
        <f t="shared" si="18"/>
        <v>4.265171921520626E-2</v>
      </c>
      <c r="R64" s="31">
        <f t="shared" si="18"/>
        <v>4.0480184319202729E-2</v>
      </c>
      <c r="S64" s="31">
        <f t="shared" si="18"/>
        <v>2.7265208821545511E-2</v>
      </c>
      <c r="T64" s="31">
        <f t="shared" si="18"/>
        <v>2.4321182455023953E-2</v>
      </c>
      <c r="U64" s="31">
        <f t="shared" si="18"/>
        <v>2.6799141634530389E-2</v>
      </c>
      <c r="V64" s="31">
        <f t="shared" si="18"/>
        <v>2.397650738204881E-2</v>
      </c>
      <c r="W64" s="31">
        <f t="shared" si="18"/>
        <v>2.7731276008560631E-2</v>
      </c>
      <c r="X64" s="31">
        <f t="shared" si="18"/>
        <v>2.4665857527999099E-2</v>
      </c>
      <c r="Y64" s="42">
        <v>2.4400000000000002E-2</v>
      </c>
      <c r="Z64" s="39"/>
    </row>
    <row r="65" spans="1:26" x14ac:dyDescent="0.25">
      <c r="B65" s="30" t="s">
        <v>57</v>
      </c>
      <c r="C65" s="31">
        <f>SUM(C32:C33)</f>
        <v>5.4640860869234573E-2</v>
      </c>
      <c r="D65" s="195">
        <f t="shared" ref="D65:X65" si="19">SUM(D32:D33)</f>
        <v>5.0826126164639503E-2</v>
      </c>
      <c r="E65" s="31">
        <f t="shared" si="19"/>
        <v>9.8243176930583806E-2</v>
      </c>
      <c r="F65" s="195">
        <f t="shared" si="19"/>
        <v>7.9636684178891734E-2</v>
      </c>
      <c r="G65" s="31">
        <f t="shared" si="19"/>
        <v>3.907645843664264E-2</v>
      </c>
      <c r="H65" s="31">
        <f t="shared" si="19"/>
        <v>3.1292412427580213E-2</v>
      </c>
      <c r="I65" s="31">
        <f t="shared" si="19"/>
        <v>0.17685071976032074</v>
      </c>
      <c r="J65" s="31">
        <f t="shared" si="19"/>
        <v>0.16257309924043348</v>
      </c>
      <c r="K65" s="31">
        <f t="shared" si="19"/>
        <v>0.10637211844391095</v>
      </c>
      <c r="L65" s="31">
        <f t="shared" si="19"/>
        <v>9.2458837304430025E-2</v>
      </c>
      <c r="M65" s="31">
        <f t="shared" si="19"/>
        <v>5.4983949755757155E-2</v>
      </c>
      <c r="N65" s="195">
        <f t="shared" si="19"/>
        <v>4.5928710490846729E-2</v>
      </c>
      <c r="O65" s="31">
        <f t="shared" si="19"/>
        <v>8.0583803650221608E-2</v>
      </c>
      <c r="P65" s="31">
        <f t="shared" si="19"/>
        <v>7.4492938014003918E-2</v>
      </c>
      <c r="Q65" s="31">
        <f t="shared" si="19"/>
        <v>6.2375315691803379E-2</v>
      </c>
      <c r="R65" s="195">
        <f>SUM(R32:R33)</f>
        <v>5.7911118368139211E-2</v>
      </c>
      <c r="S65" s="31">
        <f t="shared" si="19"/>
        <v>8.4140800442309371E-2</v>
      </c>
      <c r="T65" s="31">
        <f t="shared" si="19"/>
        <v>7.4389990773620615E-2</v>
      </c>
      <c r="U65" s="31">
        <f t="shared" si="19"/>
        <v>9.811329053461626E-2</v>
      </c>
      <c r="V65" s="31">
        <f t="shared" si="19"/>
        <v>8.6512403069577803E-2</v>
      </c>
      <c r="W65" s="31">
        <f t="shared" si="19"/>
        <v>7.0168310350002441E-2</v>
      </c>
      <c r="X65" s="31">
        <f t="shared" si="19"/>
        <v>6.2267578477663413E-2</v>
      </c>
      <c r="Y65" s="34">
        <v>5.7500000000000002E-2</v>
      </c>
      <c r="Z65" s="39"/>
    </row>
    <row r="66" spans="1:26" x14ac:dyDescent="0.25">
      <c r="B66" s="177" t="s">
        <v>60</v>
      </c>
      <c r="C66" s="31">
        <f>SUM(C34:C39)</f>
        <v>1.8917069090079477E-2</v>
      </c>
      <c r="D66" s="31">
        <f t="shared" ref="D66:X66" si="20">SUM(D34:D39)</f>
        <v>1.8168645184332862E-2</v>
      </c>
      <c r="E66" s="31">
        <f t="shared" si="20"/>
        <v>4.5934715928702269E-3</v>
      </c>
      <c r="F66" s="31">
        <f t="shared" si="20"/>
        <v>3.8438995996468712E-3</v>
      </c>
      <c r="G66" s="31">
        <f t="shared" si="20"/>
        <v>6.2797935724377835E-2</v>
      </c>
      <c r="H66" s="31">
        <f t="shared" si="20"/>
        <v>5.1922409432352802E-2</v>
      </c>
      <c r="I66" s="31">
        <f t="shared" si="20"/>
        <v>4.4263794440650636E-2</v>
      </c>
      <c r="J66" s="31">
        <f t="shared" si="20"/>
        <v>4.2015958974604625E-2</v>
      </c>
      <c r="K66" s="31">
        <f t="shared" si="20"/>
        <v>5.316653979036131E-2</v>
      </c>
      <c r="L66" s="31">
        <f t="shared" si="20"/>
        <v>4.7722984871462489E-2</v>
      </c>
      <c r="M66" s="31">
        <f t="shared" si="20"/>
        <v>3.4827634333565956E-2</v>
      </c>
      <c r="N66" s="31">
        <f t="shared" si="20"/>
        <v>3.0035029267709856E-2</v>
      </c>
      <c r="O66" s="31">
        <f t="shared" si="20"/>
        <v>4.5321344986788983E-2</v>
      </c>
      <c r="P66" s="31">
        <f t="shared" si="20"/>
        <v>4.3277963074511663E-2</v>
      </c>
      <c r="Q66" s="31">
        <f t="shared" si="20"/>
        <v>2.7523465931551864E-2</v>
      </c>
      <c r="R66" s="31">
        <f t="shared" si="20"/>
        <v>2.6383396385836557E-2</v>
      </c>
      <c r="S66" s="31">
        <f t="shared" si="20"/>
        <v>3.6426406986280788E-2</v>
      </c>
      <c r="T66" s="31">
        <f t="shared" si="20"/>
        <v>3.2921285848807214E-2</v>
      </c>
      <c r="U66" s="31">
        <f t="shared" si="20"/>
        <v>2.7802091574659675E-2</v>
      </c>
      <c r="V66" s="31">
        <f t="shared" si="20"/>
        <v>2.5569571056949476E-2</v>
      </c>
      <c r="W66" s="31">
        <f t="shared" si="20"/>
        <v>4.50507223979019E-2</v>
      </c>
      <c r="X66" s="31">
        <f t="shared" si="20"/>
        <v>4.0273000640664955E-2</v>
      </c>
      <c r="Y66" s="42">
        <v>2.87E-2</v>
      </c>
      <c r="Z66" s="39"/>
    </row>
    <row r="67" spans="1:26" x14ac:dyDescent="0.25">
      <c r="B67" s="30" t="s">
        <v>67</v>
      </c>
      <c r="C67" s="31">
        <f>C40</f>
        <v>9.9813681128560049E-3</v>
      </c>
      <c r="D67" s="31">
        <f t="shared" ref="D67:X67" si="21">D40</f>
        <v>1.0601132244916019E-2</v>
      </c>
      <c r="E67" s="31">
        <f t="shared" si="21"/>
        <v>2.1786751071121997E-2</v>
      </c>
      <c r="F67" s="31">
        <f t="shared" si="21"/>
        <v>2.0161448643477596E-2</v>
      </c>
      <c r="G67" s="31">
        <f t="shared" si="21"/>
        <v>0</v>
      </c>
      <c r="H67" s="31">
        <f t="shared" si="21"/>
        <v>0</v>
      </c>
      <c r="I67" s="31">
        <f t="shared" si="21"/>
        <v>0</v>
      </c>
      <c r="J67" s="31">
        <f t="shared" si="21"/>
        <v>0</v>
      </c>
      <c r="K67" s="31">
        <f t="shared" si="21"/>
        <v>2.0607639905525967E-3</v>
      </c>
      <c r="L67" s="31">
        <f t="shared" si="21"/>
        <v>2.0455342330734688E-3</v>
      </c>
      <c r="M67" s="31">
        <f t="shared" si="21"/>
        <v>2.8332170272156312E-2</v>
      </c>
      <c r="N67" s="31">
        <f t="shared" si="21"/>
        <v>2.7019669949782717E-2</v>
      </c>
      <c r="O67" s="31">
        <f t="shared" si="21"/>
        <v>0</v>
      </c>
      <c r="P67" s="31">
        <f t="shared" si="21"/>
        <v>0</v>
      </c>
      <c r="Q67" s="31">
        <f t="shared" si="21"/>
        <v>4.9888169913438404E-2</v>
      </c>
      <c r="R67" s="31">
        <f t="shared" si="21"/>
        <v>5.2883464426231777E-2</v>
      </c>
      <c r="S67" s="31">
        <f t="shared" si="21"/>
        <v>1.4006152920015665E-2</v>
      </c>
      <c r="T67" s="31">
        <f t="shared" si="21"/>
        <v>1.4088906187185198E-2</v>
      </c>
      <c r="U67" s="31">
        <f t="shared" si="21"/>
        <v>2.5001772814179177E-2</v>
      </c>
      <c r="V67" s="31">
        <f t="shared" si="21"/>
        <v>2.5016145754873022E-2</v>
      </c>
      <c r="W67" s="31">
        <f t="shared" si="21"/>
        <v>3.0105330258521504E-3</v>
      </c>
      <c r="X67" s="31">
        <f t="shared" si="21"/>
        <v>3.1616666194973718E-3</v>
      </c>
      <c r="Y67" s="34">
        <v>2.5700000000000001E-2</v>
      </c>
      <c r="Z67" s="39"/>
    </row>
    <row r="68" spans="1:26" x14ac:dyDescent="0.25">
      <c r="A68" s="39">
        <f>AVERAGE(D68,F68,H68,J68,L68,N68,R68)</f>
        <v>1.4098061163257625E-2</v>
      </c>
      <c r="B68" s="30" t="s">
        <v>69</v>
      </c>
      <c r="C68" s="31">
        <f>SUM(C41:C50)</f>
        <v>3.3195178523898236E-2</v>
      </c>
      <c r="D68" s="31">
        <f t="shared" ref="D68:X68" si="22">SUM(D41:D50)</f>
        <v>3.1529101038163129E-2</v>
      </c>
      <c r="E68" s="31">
        <f t="shared" si="22"/>
        <v>1.4882286172471596E-2</v>
      </c>
      <c r="F68" s="31">
        <f t="shared" si="22"/>
        <v>1.2318041261217882E-2</v>
      </c>
      <c r="G68" s="31">
        <f t="shared" si="22"/>
        <v>9.9675307685215481E-4</v>
      </c>
      <c r="H68" s="195">
        <f t="shared" si="22"/>
        <v>8.1503737845973817E-4</v>
      </c>
      <c r="I68" s="31">
        <f t="shared" si="22"/>
        <v>5.9101993192911635E-3</v>
      </c>
      <c r="J68" s="31">
        <f t="shared" si="22"/>
        <v>5.5476992569500477E-3</v>
      </c>
      <c r="K68" s="31">
        <f t="shared" si="22"/>
        <v>8.7046905194120734E-3</v>
      </c>
      <c r="L68" s="31">
        <f t="shared" si="22"/>
        <v>7.7258489564242337E-3</v>
      </c>
      <c r="M68" s="31">
        <f t="shared" si="22"/>
        <v>5.0802512212142371E-4</v>
      </c>
      <c r="N68" s="31">
        <f t="shared" si="22"/>
        <v>4.3330867123552065E-4</v>
      </c>
      <c r="O68" s="31">
        <f t="shared" si="22"/>
        <v>5.1146463036906443E-3</v>
      </c>
      <c r="P68" s="31">
        <f t="shared" si="22"/>
        <v>4.8279718524472321E-3</v>
      </c>
      <c r="Q68" s="31">
        <f t="shared" si="22"/>
        <v>4.2528266154292671E-2</v>
      </c>
      <c r="R68" s="31">
        <f t="shared" si="22"/>
        <v>4.0317391580352829E-2</v>
      </c>
      <c r="S68" s="31">
        <f t="shared" si="22"/>
        <v>1.3980005649003747E-2</v>
      </c>
      <c r="T68" s="31">
        <f t="shared" si="22"/>
        <v>1.2939299999406325E-2</v>
      </c>
      <c r="U68" s="31">
        <f t="shared" si="22"/>
        <v>1.5957194192044215E-2</v>
      </c>
      <c r="V68" s="31">
        <f t="shared" si="22"/>
        <v>1.465411019243907E-2</v>
      </c>
      <c r="W68" s="31">
        <f t="shared" si="22"/>
        <v>1.2002817105963277E-2</v>
      </c>
      <c r="X68" s="31">
        <f t="shared" si="22"/>
        <v>1.1224489806373583E-2</v>
      </c>
      <c r="Y68" s="42">
        <v>8.0999999999999996E-3</v>
      </c>
      <c r="Z68" s="39">
        <f>AVERAGE(D68,F68,J68,L68,N68,P68,R68)</f>
        <v>1.467133751668441E-2</v>
      </c>
    </row>
    <row r="69" spans="1:26" x14ac:dyDescent="0.25">
      <c r="B69" s="28" t="s">
        <v>74</v>
      </c>
      <c r="C69" s="31">
        <f>C51</f>
        <v>9.6125327959237977E-2</v>
      </c>
      <c r="D69" s="31">
        <f t="shared" ref="D69:X69" si="23">D51</f>
        <v>4.7150004756023801E-2</v>
      </c>
      <c r="E69" s="31">
        <f t="shared" si="23"/>
        <v>9.8131670439586663E-2</v>
      </c>
      <c r="F69" s="31">
        <f t="shared" si="23"/>
        <v>4.8080895082374724E-2</v>
      </c>
      <c r="G69" s="31">
        <f t="shared" si="23"/>
        <v>0.11025584159600103</v>
      </c>
      <c r="H69" s="31">
        <f t="shared" si="23"/>
        <v>5.4004679613340406E-2</v>
      </c>
      <c r="I69" s="31">
        <f t="shared" si="23"/>
        <v>7.8212001139512627E-2</v>
      </c>
      <c r="J69" s="31">
        <f t="shared" si="23"/>
        <v>3.838311480725036E-2</v>
      </c>
      <c r="K69" s="31">
        <f t="shared" si="23"/>
        <v>0.12443881634166816</v>
      </c>
      <c r="L69" s="31">
        <f t="shared" si="23"/>
        <v>6.1044261766321259E-2</v>
      </c>
      <c r="M69" s="31">
        <f t="shared" si="23"/>
        <v>0.13675087229588273</v>
      </c>
      <c r="N69" s="31">
        <f t="shared" si="23"/>
        <v>6.7017144610458712E-2</v>
      </c>
      <c r="O69" s="31">
        <f t="shared" si="23"/>
        <v>8.1625989855910533E-2</v>
      </c>
      <c r="P69" s="31">
        <f t="shared" si="23"/>
        <v>4.0135954492021141E-2</v>
      </c>
      <c r="Q69" s="31">
        <f t="shared" si="23"/>
        <v>0.12674952030605854</v>
      </c>
      <c r="R69" s="31">
        <f t="shared" si="23"/>
        <v>6.2182679777819959E-2</v>
      </c>
      <c r="S69" s="31">
        <f t="shared" si="23"/>
        <v>0.1065362549917323</v>
      </c>
      <c r="T69" s="31">
        <f t="shared" si="23"/>
        <v>5.2249841863201293E-2</v>
      </c>
      <c r="U69" s="31">
        <f t="shared" si="23"/>
        <v>0.10996101604526015</v>
      </c>
      <c r="V69" s="31">
        <f t="shared" si="23"/>
        <v>5.3915958569475939E-2</v>
      </c>
      <c r="W69" s="31">
        <f t="shared" si="23"/>
        <v>0.10311149393820442</v>
      </c>
      <c r="X69" s="31">
        <f t="shared" si="23"/>
        <v>5.0583725156926655E-2</v>
      </c>
      <c r="Y69" s="34">
        <v>0.12670000000000001</v>
      </c>
      <c r="Z69" s="39"/>
    </row>
    <row r="70" spans="1:26" x14ac:dyDescent="0.25">
      <c r="B70" s="27"/>
      <c r="C70" s="31">
        <f>SUM(C57:C69)</f>
        <v>1</v>
      </c>
      <c r="D70" s="31">
        <f t="shared" ref="D70:X70" si="24">SUM(D57:D69)</f>
        <v>1</v>
      </c>
      <c r="E70" s="31">
        <f t="shared" si="24"/>
        <v>1</v>
      </c>
      <c r="F70" s="31">
        <f t="shared" si="24"/>
        <v>0.99999999999999989</v>
      </c>
      <c r="G70" s="31">
        <f t="shared" si="24"/>
        <v>1</v>
      </c>
      <c r="H70" s="31">
        <f t="shared" si="24"/>
        <v>1</v>
      </c>
      <c r="I70" s="31">
        <f t="shared" si="24"/>
        <v>1.0000000000000002</v>
      </c>
      <c r="J70" s="31">
        <f t="shared" si="24"/>
        <v>1.0000000000000002</v>
      </c>
      <c r="K70" s="31">
        <f t="shared" si="24"/>
        <v>1</v>
      </c>
      <c r="L70" s="31">
        <f t="shared" si="24"/>
        <v>1</v>
      </c>
      <c r="M70" s="31">
        <f t="shared" si="24"/>
        <v>0.99999999999999956</v>
      </c>
      <c r="N70" s="31">
        <f t="shared" si="24"/>
        <v>0.99999999999999978</v>
      </c>
      <c r="O70" s="31">
        <f t="shared" si="24"/>
        <v>0.99999999999999978</v>
      </c>
      <c r="P70" s="31">
        <f t="shared" si="24"/>
        <v>1.0000000000000002</v>
      </c>
      <c r="Q70" s="31">
        <f t="shared" si="24"/>
        <v>1</v>
      </c>
      <c r="R70" s="31">
        <f t="shared" si="24"/>
        <v>1</v>
      </c>
      <c r="S70" s="31">
        <f t="shared" si="24"/>
        <v>1</v>
      </c>
      <c r="T70" s="31">
        <f t="shared" si="24"/>
        <v>1</v>
      </c>
      <c r="U70" s="31">
        <f t="shared" si="24"/>
        <v>0.99999999999999978</v>
      </c>
      <c r="V70" s="31">
        <f t="shared" si="24"/>
        <v>1</v>
      </c>
      <c r="W70" s="31">
        <f t="shared" si="24"/>
        <v>1.0000000000000002</v>
      </c>
      <c r="X70" s="31">
        <f t="shared" si="24"/>
        <v>1</v>
      </c>
    </row>
    <row r="73" spans="1:26" ht="15" customHeight="1" x14ac:dyDescent="0.25">
      <c r="C73" s="383" t="s">
        <v>84</v>
      </c>
      <c r="D73" s="410" t="s">
        <v>132</v>
      </c>
      <c r="E73" s="411" t="s">
        <v>198</v>
      </c>
      <c r="F73" s="412"/>
      <c r="G73" s="412"/>
      <c r="H73" s="412"/>
      <c r="I73" s="413"/>
      <c r="J73" s="153" t="s">
        <v>106</v>
      </c>
      <c r="K73" s="153"/>
      <c r="L73" s="153"/>
      <c r="M73" s="91"/>
      <c r="N73" s="91"/>
    </row>
    <row r="74" spans="1:26" ht="45" x14ac:dyDescent="0.25">
      <c r="C74" s="383"/>
      <c r="D74" s="410"/>
      <c r="E74" s="137" t="s">
        <v>86</v>
      </c>
      <c r="F74" s="137" t="s">
        <v>87</v>
      </c>
      <c r="G74" s="137" t="s">
        <v>88</v>
      </c>
      <c r="H74" s="154" t="s">
        <v>89</v>
      </c>
      <c r="I74" s="154" t="s">
        <v>90</v>
      </c>
      <c r="J74" s="32" t="s">
        <v>103</v>
      </c>
      <c r="K74" s="32" t="s">
        <v>104</v>
      </c>
      <c r="L74" s="32" t="s">
        <v>105</v>
      </c>
      <c r="M74" s="32" t="s">
        <v>113</v>
      </c>
      <c r="N74" s="32" t="s">
        <v>114</v>
      </c>
      <c r="S74" s="135" t="s">
        <v>117</v>
      </c>
    </row>
    <row r="75" spans="1:26" x14ac:dyDescent="0.25">
      <c r="B75" s="33" t="s">
        <v>82</v>
      </c>
      <c r="C75" s="158">
        <v>0.30930000000000002</v>
      </c>
      <c r="D75" s="35">
        <v>0.22611376396934094</v>
      </c>
      <c r="E75" s="164">
        <f t="shared" ref="E75:E87" si="25">T57</f>
        <v>0.21456000508425935</v>
      </c>
      <c r="F75" s="159">
        <f>MIN(D57,F57,H57,J57,L57,N57,P57,R57)</f>
        <v>8.5284843409244082E-2</v>
      </c>
      <c r="G75" s="159">
        <f t="shared" ref="G75:G87" si="26">MAX(D57,F57,H57,J57,L57,N57,P57,R57)</f>
        <v>0.34941756689539777</v>
      </c>
      <c r="H75" s="160">
        <f t="shared" ref="H75:H87" si="27">STDEV(D57,F57,H57,J57,L57,N57,P57,R57)</f>
        <v>0.10455681750974122</v>
      </c>
      <c r="I75" s="161">
        <f>H75/E75</f>
        <v>0.48730804918037246</v>
      </c>
      <c r="J75" s="36">
        <f>E75+SQRT((1/0.05)-1)*(H75/SQRT(8))</f>
        <v>0.37569288257498951</v>
      </c>
      <c r="K75" s="36">
        <f>E75-(SQRT((1/0.05)-1)*H75/SQRT(8))</f>
        <v>5.3427127593529189E-2</v>
      </c>
      <c r="L75" s="38">
        <f>SQRT((1/0.05)-1)*(H75/SQRT(8))</f>
        <v>0.16113287749073016</v>
      </c>
      <c r="M75" s="112">
        <f>(J75-K75)/2</f>
        <v>0.16113287749073016</v>
      </c>
      <c r="N75" s="62">
        <f>M75/E75</f>
        <v>0.75099214053174568</v>
      </c>
      <c r="O75" s="39">
        <f>E75-F75</f>
        <v>0.12927516167501527</v>
      </c>
      <c r="P75" s="40">
        <f>G75-E75</f>
        <v>0.13485756181113842</v>
      </c>
      <c r="Q75" s="155">
        <f>C75/E75</f>
        <v>1.4415547756840124</v>
      </c>
      <c r="R75" s="39">
        <f>G75-F75</f>
        <v>0.26413272348615369</v>
      </c>
      <c r="S75" s="49">
        <f>E75/C75</f>
        <v>0.69369545775706221</v>
      </c>
      <c r="T75" s="39"/>
    </row>
    <row r="76" spans="1:26" x14ac:dyDescent="0.25">
      <c r="B76" s="41" t="s">
        <v>31</v>
      </c>
      <c r="C76" s="43">
        <v>0.1033</v>
      </c>
      <c r="D76" s="43">
        <v>0.12621046204246816</v>
      </c>
      <c r="E76" s="140">
        <f t="shared" si="25"/>
        <v>0.10860476004628808</v>
      </c>
      <c r="F76" s="44">
        <f t="shared" ref="F76:F87" si="28">MIN(D58,F58,H58,J58,L58,N58,P58,R58)</f>
        <v>5.1053135147769914E-2</v>
      </c>
      <c r="G76" s="44">
        <f t="shared" si="26"/>
        <v>0.1498688981473115</v>
      </c>
      <c r="H76" s="46">
        <f t="shared" si="27"/>
        <v>3.8480809303737921E-2</v>
      </c>
      <c r="I76" s="45">
        <f t="shared" ref="I76:I87" si="29">H76/E76</f>
        <v>0.35431973043665066</v>
      </c>
      <c r="J76" s="44">
        <f t="shared" ref="J76:J87" si="30">E76+SQRT((1/0.05)-1)*(H76/SQRT(8))</f>
        <v>0.1679076699756733</v>
      </c>
      <c r="K76" s="44">
        <f t="shared" ref="K76:K87" si="31">E76-(SQRT((1/0.05)-1)*H76/SQRT(8))</f>
        <v>4.930185011690285E-2</v>
      </c>
      <c r="L76" s="46">
        <f t="shared" ref="L76:L87" si="32">SQRT((1/0.05)-1)*(H76/SQRT(8))</f>
        <v>5.9302909929385229E-2</v>
      </c>
      <c r="M76" s="113">
        <f t="shared" ref="M76:M87" si="33">(J76-K76)/2</f>
        <v>5.9302909929385222E-2</v>
      </c>
      <c r="N76" s="60">
        <f t="shared" ref="N76:N87" si="34">M76/E76</f>
        <v>0.54604337695797056</v>
      </c>
      <c r="O76" s="39">
        <f t="shared" ref="O76:O87" si="35">E76-F76</f>
        <v>5.7551624898518165E-2</v>
      </c>
      <c r="P76" s="40">
        <f t="shared" ref="P76:P87" si="36">G76-E76</f>
        <v>4.1264138101023418E-2</v>
      </c>
      <c r="Q76" s="155">
        <f>C76/E76</f>
        <v>0.95115536331900041</v>
      </c>
      <c r="R76" s="39">
        <f t="shared" ref="R76:R87" si="37">G76-F76</f>
        <v>9.881576299954159E-2</v>
      </c>
      <c r="S76" s="49">
        <f t="shared" ref="S76:S87" si="38">E76/C76</f>
        <v>1.0513529530134373</v>
      </c>
      <c r="T76" s="39"/>
    </row>
    <row r="77" spans="1:26" x14ac:dyDescent="0.25">
      <c r="B77" s="33" t="s">
        <v>37</v>
      </c>
      <c r="C77" s="35">
        <v>5.6899999999999999E-2</v>
      </c>
      <c r="D77" s="35">
        <v>9.870587327859015E-2</v>
      </c>
      <c r="E77" s="157">
        <f t="shared" si="25"/>
        <v>8.346986078425625E-2</v>
      </c>
      <c r="F77" s="36">
        <f t="shared" si="28"/>
        <v>4.125957924287034E-2</v>
      </c>
      <c r="G77" s="36">
        <f t="shared" si="26"/>
        <v>0.12625902044351645</v>
      </c>
      <c r="H77" s="38">
        <f t="shared" si="27"/>
        <v>2.6321304779655452E-2</v>
      </c>
      <c r="I77" s="37">
        <f t="shared" si="29"/>
        <v>0.31533902815158488</v>
      </c>
      <c r="J77" s="36">
        <f t="shared" si="30"/>
        <v>0.12403371572428683</v>
      </c>
      <c r="K77" s="36">
        <f t="shared" si="31"/>
        <v>4.2906005844225673E-2</v>
      </c>
      <c r="L77" s="38">
        <f>SQRT((1/0.05)-1)*(H77/SQRT(8))</f>
        <v>4.0563854940030578E-2</v>
      </c>
      <c r="M77" s="112">
        <f t="shared" si="33"/>
        <v>4.0563854940030578E-2</v>
      </c>
      <c r="N77" s="62">
        <f t="shared" si="34"/>
        <v>0.48597008020506449</v>
      </c>
      <c r="O77" s="39">
        <f t="shared" si="35"/>
        <v>4.2210281541385911E-2</v>
      </c>
      <c r="P77" s="40">
        <f t="shared" si="36"/>
        <v>4.2789159659260195E-2</v>
      </c>
      <c r="Q77" s="155">
        <f>C77/E77</f>
        <v>0.68168317839979253</v>
      </c>
      <c r="R77" s="39">
        <f t="shared" si="37"/>
        <v>8.4999441200646106E-2</v>
      </c>
      <c r="S77" s="49">
        <f>E77/C77</f>
        <v>1.4669571315335017</v>
      </c>
      <c r="T77" s="39"/>
    </row>
    <row r="78" spans="1:26" x14ac:dyDescent="0.25">
      <c r="B78" s="41" t="s">
        <v>83</v>
      </c>
      <c r="C78" s="43">
        <v>1.6899999999999998E-2</v>
      </c>
      <c r="D78" s="43">
        <v>2.2590783766282978E-2</v>
      </c>
      <c r="E78" s="140">
        <f t="shared" si="25"/>
        <v>2.8404549739148178E-2</v>
      </c>
      <c r="F78" s="44">
        <f t="shared" si="28"/>
        <v>9.0643243074044182E-3</v>
      </c>
      <c r="G78" s="44">
        <f t="shared" si="26"/>
        <v>6.1849843914138142E-2</v>
      </c>
      <c r="H78" s="46">
        <f t="shared" si="27"/>
        <v>2.0605605851250153E-2</v>
      </c>
      <c r="I78" s="45">
        <f t="shared" si="29"/>
        <v>0.7254332858813376</v>
      </c>
      <c r="J78" s="44">
        <f t="shared" si="30"/>
        <v>6.0159921051424661E-2</v>
      </c>
      <c r="K78" s="44">
        <f t="shared" si="31"/>
        <v>-3.3508215731283021E-3</v>
      </c>
      <c r="L78" s="46">
        <f t="shared" si="32"/>
        <v>3.175537131227648E-2</v>
      </c>
      <c r="M78" s="113">
        <f t="shared" si="33"/>
        <v>3.175537131227648E-2</v>
      </c>
      <c r="N78" s="60">
        <f t="shared" si="34"/>
        <v>1.1179677764266784</v>
      </c>
      <c r="O78" s="39">
        <f t="shared" si="35"/>
        <v>1.9340225431743761E-2</v>
      </c>
      <c r="P78" s="40">
        <f t="shared" si="36"/>
        <v>3.3445294174989967E-2</v>
      </c>
      <c r="Q78" s="155">
        <f>C78/E78</f>
        <v>0.59497510628404038</v>
      </c>
      <c r="R78" s="39">
        <f t="shared" si="37"/>
        <v>5.2785519606733722E-2</v>
      </c>
      <c r="S78" s="49">
        <f t="shared" si="38"/>
        <v>1.6807425881152769</v>
      </c>
      <c r="T78" s="39"/>
    </row>
    <row r="79" spans="1:26" x14ac:dyDescent="0.25">
      <c r="B79" s="33" t="s">
        <v>46</v>
      </c>
      <c r="C79" s="35">
        <v>2.3199999999999998E-2</v>
      </c>
      <c r="D79" s="35">
        <v>2.8504511241045284E-2</v>
      </c>
      <c r="E79" s="157">
        <f>T61</f>
        <v>3.1125355649822516E-2</v>
      </c>
      <c r="F79" s="36">
        <f t="shared" si="28"/>
        <v>2.6917940804430745E-3</v>
      </c>
      <c r="G79" s="36">
        <f t="shared" si="26"/>
        <v>4.877793547467757E-2</v>
      </c>
      <c r="H79" s="38">
        <f t="shared" si="27"/>
        <v>1.5764566504906728E-2</v>
      </c>
      <c r="I79" s="37">
        <f>H79/E79</f>
        <v>0.50648630917721327</v>
      </c>
      <c r="J79" s="36">
        <f t="shared" si="30"/>
        <v>5.5420184278218196E-2</v>
      </c>
      <c r="K79" s="36">
        <f t="shared" si="31"/>
        <v>6.830527021426832E-3</v>
      </c>
      <c r="L79" s="38">
        <f t="shared" si="32"/>
        <v>2.4294828628395684E-2</v>
      </c>
      <c r="M79" s="112">
        <f t="shared" si="33"/>
        <v>2.429482862839568E-2</v>
      </c>
      <c r="N79" s="62">
        <f t="shared" si="34"/>
        <v>0.78054782415102186</v>
      </c>
      <c r="O79" s="39">
        <f t="shared" si="35"/>
        <v>2.8433561569379442E-2</v>
      </c>
      <c r="P79" s="40">
        <f t="shared" si="36"/>
        <v>1.7652579824855054E-2</v>
      </c>
      <c r="Q79" s="156">
        <f>C79/E79</f>
        <v>0.74537300909948934</v>
      </c>
      <c r="R79" s="39">
        <f t="shared" si="37"/>
        <v>4.6086141394234496E-2</v>
      </c>
      <c r="S79" s="49">
        <f t="shared" si="38"/>
        <v>1.3416101573199362</v>
      </c>
      <c r="T79" s="39"/>
    </row>
    <row r="80" spans="1:26" x14ac:dyDescent="0.25">
      <c r="B80" s="41" t="s">
        <v>47</v>
      </c>
      <c r="C80" s="43">
        <v>0.105</v>
      </c>
      <c r="D80" s="43">
        <v>9.1187119019428636E-2</v>
      </c>
      <c r="E80" s="167">
        <f t="shared" si="25"/>
        <v>0.1189509855438442</v>
      </c>
      <c r="F80" s="44">
        <f t="shared" si="28"/>
        <v>6.052796918135038E-2</v>
      </c>
      <c r="G80" s="44">
        <f t="shared" si="26"/>
        <v>0.18548407507536241</v>
      </c>
      <c r="H80" s="46">
        <f t="shared" si="27"/>
        <v>4.0233710503150305E-2</v>
      </c>
      <c r="I80" s="45">
        <f t="shared" si="29"/>
        <v>0.33823772303526262</v>
      </c>
      <c r="J80" s="44">
        <f t="shared" si="30"/>
        <v>0.18095529764809914</v>
      </c>
      <c r="K80" s="44">
        <f t="shared" si="31"/>
        <v>5.6946673439589264E-2</v>
      </c>
      <c r="L80" s="46">
        <f t="shared" si="32"/>
        <v>6.2004312104254937E-2</v>
      </c>
      <c r="M80" s="113">
        <f t="shared" si="33"/>
        <v>6.2004312104254944E-2</v>
      </c>
      <c r="N80" s="60">
        <f t="shared" si="34"/>
        <v>0.52125933905272892</v>
      </c>
      <c r="O80" s="39">
        <f t="shared" si="35"/>
        <v>5.8423016362493821E-2</v>
      </c>
      <c r="P80" s="40">
        <f t="shared" si="36"/>
        <v>6.6533089531518208E-2</v>
      </c>
      <c r="Q80" s="155">
        <f t="shared" ref="Q80:Q87" si="39">C80/E80</f>
        <v>0.88271651991734024</v>
      </c>
      <c r="R80" s="39">
        <f t="shared" si="37"/>
        <v>0.12495610589401203</v>
      </c>
      <c r="S80" s="49">
        <f t="shared" si="38"/>
        <v>1.1328665289889925</v>
      </c>
      <c r="T80" s="39"/>
    </row>
    <row r="81" spans="2:24" x14ac:dyDescent="0.25">
      <c r="B81" s="33" t="s">
        <v>50</v>
      </c>
      <c r="C81" s="35">
        <v>0.1143</v>
      </c>
      <c r="D81" s="35">
        <v>0.18350233790553844</v>
      </c>
      <c r="E81" s="141">
        <f t="shared" si="25"/>
        <v>0.20397397602513687</v>
      </c>
      <c r="F81" s="36">
        <f t="shared" si="28"/>
        <v>0.13615990838986267</v>
      </c>
      <c r="G81" s="36">
        <f t="shared" si="26"/>
        <v>0.35952175836181433</v>
      </c>
      <c r="H81" s="38">
        <f t="shared" si="27"/>
        <v>6.8414070187466772E-2</v>
      </c>
      <c r="I81" s="37">
        <f t="shared" si="29"/>
        <v>0.33540587638020902</v>
      </c>
      <c r="J81" s="36">
        <f t="shared" si="30"/>
        <v>0.30940713909106754</v>
      </c>
      <c r="K81" s="36">
        <f t="shared" si="31"/>
        <v>9.854081295920622E-2</v>
      </c>
      <c r="L81" s="38">
        <f t="shared" si="32"/>
        <v>0.10543316306593065</v>
      </c>
      <c r="M81" s="112">
        <f t="shared" si="33"/>
        <v>0.10543316306593066</v>
      </c>
      <c r="N81" s="62">
        <f t="shared" si="34"/>
        <v>0.51689517025906062</v>
      </c>
      <c r="O81" s="39">
        <f t="shared" si="35"/>
        <v>6.78140676352742E-2</v>
      </c>
      <c r="P81" s="40">
        <f t="shared" si="36"/>
        <v>0.15554778233667746</v>
      </c>
      <c r="Q81" s="155">
        <f t="shared" si="39"/>
        <v>0.5603656026488113</v>
      </c>
      <c r="R81" s="39">
        <f t="shared" si="37"/>
        <v>0.22336184997195166</v>
      </c>
      <c r="S81" s="49">
        <f t="shared" si="38"/>
        <v>1.7845492215672516</v>
      </c>
      <c r="T81" s="39"/>
    </row>
    <row r="82" spans="2:24" x14ac:dyDescent="0.25">
      <c r="B82" s="41" t="s">
        <v>56</v>
      </c>
      <c r="C82" s="43">
        <v>2.4400000000000002E-2</v>
      </c>
      <c r="D82" s="43">
        <v>3.5013714023170849E-2</v>
      </c>
      <c r="E82" s="167">
        <f>T64</f>
        <v>2.4321182455023953E-2</v>
      </c>
      <c r="F82" s="44">
        <f t="shared" si="28"/>
        <v>7.4692748602863878E-3</v>
      </c>
      <c r="G82" s="44">
        <f t="shared" si="26"/>
        <v>4.0480184319202729E-2</v>
      </c>
      <c r="H82" s="46">
        <f t="shared" si="27"/>
        <v>1.2422321658557875E-2</v>
      </c>
      <c r="I82" s="45">
        <f t="shared" si="29"/>
        <v>0.51076141883849213</v>
      </c>
      <c r="J82" s="44">
        <f t="shared" si="30"/>
        <v>4.3465265850373691E-2</v>
      </c>
      <c r="K82" s="44">
        <f t="shared" si="31"/>
        <v>5.177099059674211E-3</v>
      </c>
      <c r="L82" s="46">
        <f t="shared" si="32"/>
        <v>1.9144083395349742E-2</v>
      </c>
      <c r="M82" s="113">
        <f t="shared" si="33"/>
        <v>1.9144083395349738E-2</v>
      </c>
      <c r="N82" s="60">
        <f t="shared" si="34"/>
        <v>0.78713621061607564</v>
      </c>
      <c r="O82" s="39">
        <f t="shared" si="35"/>
        <v>1.6851907594737564E-2</v>
      </c>
      <c r="P82" s="40">
        <f t="shared" si="36"/>
        <v>1.6159001864178776E-2</v>
      </c>
      <c r="Q82" s="155">
        <f>C82/E82</f>
        <v>1.0032406954358326</v>
      </c>
      <c r="R82" s="39">
        <f t="shared" si="37"/>
        <v>3.301090945891634E-2</v>
      </c>
      <c r="S82" s="49">
        <f t="shared" si="38"/>
        <v>0.99676977274688328</v>
      </c>
      <c r="T82" s="39"/>
    </row>
    <row r="83" spans="2:24" x14ac:dyDescent="0.25">
      <c r="B83" s="33" t="s">
        <v>57</v>
      </c>
      <c r="C83" s="35">
        <v>5.7500000000000002E-2</v>
      </c>
      <c r="D83" s="35">
        <v>6.5246665055814695E-2</v>
      </c>
      <c r="E83" s="141">
        <f t="shared" si="25"/>
        <v>7.4389990773620615E-2</v>
      </c>
      <c r="F83" s="36">
        <f t="shared" si="28"/>
        <v>3.1292412427580213E-2</v>
      </c>
      <c r="G83" s="36">
        <f t="shared" si="26"/>
        <v>0.16257309924043348</v>
      </c>
      <c r="H83" s="38">
        <f t="shared" si="27"/>
        <v>4.075105066014699E-2</v>
      </c>
      <c r="I83" s="37">
        <f t="shared" si="29"/>
        <v>0.54780287289130425</v>
      </c>
      <c r="J83" s="36">
        <f t="shared" si="30"/>
        <v>0.1371915776048977</v>
      </c>
      <c r="K83" s="36">
        <f t="shared" si="31"/>
        <v>1.1588403942343548E-2</v>
      </c>
      <c r="L83" s="38">
        <f t="shared" si="32"/>
        <v>6.2801586831277068E-2</v>
      </c>
      <c r="M83" s="112">
        <f t="shared" si="33"/>
        <v>6.2801586831277068E-2</v>
      </c>
      <c r="N83" s="62">
        <f t="shared" si="34"/>
        <v>0.84422092512944757</v>
      </c>
      <c r="O83" s="39">
        <f t="shared" si="35"/>
        <v>4.3097578346040402E-2</v>
      </c>
      <c r="P83" s="40">
        <f t="shared" si="36"/>
        <v>8.8183108466812862E-2</v>
      </c>
      <c r="Q83" s="155">
        <f t="shared" si="39"/>
        <v>0.77295344981263314</v>
      </c>
      <c r="R83" s="39">
        <f t="shared" si="37"/>
        <v>0.13128068681285326</v>
      </c>
      <c r="S83" s="49">
        <f t="shared" si="38"/>
        <v>1.2937389699760107</v>
      </c>
      <c r="T83" s="39"/>
    </row>
    <row r="84" spans="2:24" x14ac:dyDescent="0.25">
      <c r="B84" s="41" t="s">
        <v>60</v>
      </c>
      <c r="C84" s="43">
        <v>2.87E-2</v>
      </c>
      <c r="D84" s="43">
        <v>4.0337855118482362E-2</v>
      </c>
      <c r="E84" s="140">
        <f t="shared" si="25"/>
        <v>3.2921285848807214E-2</v>
      </c>
      <c r="F84" s="44">
        <f t="shared" si="28"/>
        <v>3.8438995996468712E-3</v>
      </c>
      <c r="G84" s="44">
        <f t="shared" si="26"/>
        <v>5.1922409432352802E-2</v>
      </c>
      <c r="H84" s="46">
        <f t="shared" si="27"/>
        <v>1.64069502134957E-2</v>
      </c>
      <c r="I84" s="45">
        <f t="shared" si="29"/>
        <v>0.49836905790513492</v>
      </c>
      <c r="J84" s="44">
        <f t="shared" si="30"/>
        <v>5.8206094259329141E-2</v>
      </c>
      <c r="K84" s="44">
        <f t="shared" si="31"/>
        <v>7.6364774382852788E-3</v>
      </c>
      <c r="L84" s="46">
        <f t="shared" si="32"/>
        <v>2.5284808410521931E-2</v>
      </c>
      <c r="M84" s="113">
        <f t="shared" si="33"/>
        <v>2.5284808410521931E-2</v>
      </c>
      <c r="N84" s="60">
        <f t="shared" si="34"/>
        <v>0.76803829979921745</v>
      </c>
      <c r="O84" s="39">
        <f t="shared" si="35"/>
        <v>2.9077386249160342E-2</v>
      </c>
      <c r="P84" s="40">
        <f t="shared" si="36"/>
        <v>1.9001123583545589E-2</v>
      </c>
      <c r="Q84" s="155">
        <f t="shared" si="39"/>
        <v>0.8717763981579062</v>
      </c>
      <c r="R84" s="39">
        <f t="shared" si="37"/>
        <v>4.807850983270593E-2</v>
      </c>
      <c r="S84" s="49">
        <f t="shared" si="38"/>
        <v>1.1470831306204603</v>
      </c>
      <c r="T84" s="39"/>
    </row>
    <row r="85" spans="2:24" x14ac:dyDescent="0.25">
      <c r="B85" s="33" t="s">
        <v>67</v>
      </c>
      <c r="C85" s="35">
        <v>2.5700000000000001E-2</v>
      </c>
      <c r="D85" s="35">
        <v>1.6677595960460041E-2</v>
      </c>
      <c r="E85" s="157">
        <f t="shared" si="25"/>
        <v>1.4088906187185198E-2</v>
      </c>
      <c r="F85" s="36">
        <f t="shared" si="28"/>
        <v>0</v>
      </c>
      <c r="G85" s="36">
        <f t="shared" si="26"/>
        <v>5.2883464426231777E-2</v>
      </c>
      <c r="H85" s="38">
        <f t="shared" si="27"/>
        <v>1.8753275447549834E-2</v>
      </c>
      <c r="I85" s="37">
        <f t="shared" si="29"/>
        <v>1.3310668123127394</v>
      </c>
      <c r="J85" s="36">
        <f t="shared" si="30"/>
        <v>4.298964462978782E-2</v>
      </c>
      <c r="K85" s="36">
        <f t="shared" si="31"/>
        <v>-1.4811832255417429E-2</v>
      </c>
      <c r="L85" s="38">
        <f t="shared" si="32"/>
        <v>2.8900738442602623E-2</v>
      </c>
      <c r="M85" s="112">
        <f t="shared" si="33"/>
        <v>2.8900738442602623E-2</v>
      </c>
      <c r="N85" s="62">
        <f t="shared" si="34"/>
        <v>2.0513117241769825</v>
      </c>
      <c r="O85" s="39">
        <f t="shared" si="35"/>
        <v>1.4088906187185198E-2</v>
      </c>
      <c r="P85" s="40">
        <f t="shared" si="36"/>
        <v>3.8794558239046581E-2</v>
      </c>
      <c r="Q85" s="155">
        <f t="shared" si="39"/>
        <v>1.8241302524518099</v>
      </c>
      <c r="R85" s="39">
        <f t="shared" si="37"/>
        <v>5.2883464426231777E-2</v>
      </c>
      <c r="S85" s="49">
        <f t="shared" si="38"/>
        <v>0.54820646642743964</v>
      </c>
      <c r="T85" s="39"/>
    </row>
    <row r="86" spans="2:24" x14ac:dyDescent="0.25">
      <c r="B86" s="41" t="s">
        <v>69</v>
      </c>
      <c r="C86" s="43">
        <v>8.0999999999999996E-3</v>
      </c>
      <c r="D86" s="43">
        <v>8.6654674950381386E-3</v>
      </c>
      <c r="E86" s="243">
        <f t="shared" si="25"/>
        <v>1.2939299999406325E-2</v>
      </c>
      <c r="F86" s="44">
        <f t="shared" si="28"/>
        <v>4.3330867123552065E-4</v>
      </c>
      <c r="G86" s="44">
        <f t="shared" si="26"/>
        <v>4.0317391580352829E-2</v>
      </c>
      <c r="H86" s="46">
        <f t="shared" si="27"/>
        <v>1.4863827638734728E-2</v>
      </c>
      <c r="I86" s="45">
        <f>H86/E86</f>
        <v>1.1487350659940416</v>
      </c>
      <c r="J86" s="44">
        <f t="shared" si="30"/>
        <v>3.5845996807889739E-2</v>
      </c>
      <c r="K86" s="44">
        <f t="shared" si="31"/>
        <v>-9.9673968090770882E-3</v>
      </c>
      <c r="L86" s="46">
        <f t="shared" si="32"/>
        <v>2.2906696808483413E-2</v>
      </c>
      <c r="M86" s="113">
        <f t="shared" si="33"/>
        <v>2.2906696808483413E-2</v>
      </c>
      <c r="N86" s="60">
        <f t="shared" si="34"/>
        <v>1.7703196316287904</v>
      </c>
      <c r="O86" s="39">
        <f t="shared" si="35"/>
        <v>1.2505991328170804E-2</v>
      </c>
      <c r="P86" s="40">
        <f t="shared" si="36"/>
        <v>2.7378091580946506E-2</v>
      </c>
      <c r="Q86" s="155">
        <f>C86/E86</f>
        <v>0.62599986091764159</v>
      </c>
      <c r="R86" s="39">
        <f t="shared" si="37"/>
        <v>3.988408290911731E-2</v>
      </c>
      <c r="S86" s="49">
        <f t="shared" si="38"/>
        <v>1.5974444443711513</v>
      </c>
      <c r="T86" s="39"/>
    </row>
    <row r="87" spans="2:24" x14ac:dyDescent="0.25">
      <c r="B87" s="47" t="s">
        <v>74</v>
      </c>
      <c r="C87" s="35">
        <v>0.12670000000000001</v>
      </c>
      <c r="D87" s="35">
        <v>5.7233624762730154E-2</v>
      </c>
      <c r="E87" s="157">
        <f t="shared" si="25"/>
        <v>5.2249841863201293E-2</v>
      </c>
      <c r="F87" s="36">
        <f t="shared" si="28"/>
        <v>3.838311480725036E-2</v>
      </c>
      <c r="G87" s="36">
        <f t="shared" si="26"/>
        <v>6.7017144610458712E-2</v>
      </c>
      <c r="H87" s="38">
        <f t="shared" si="27"/>
        <v>1.0553107996468818E-2</v>
      </c>
      <c r="I87" s="37">
        <f t="shared" si="29"/>
        <v>0.20197397006671514</v>
      </c>
      <c r="J87" s="36">
        <f t="shared" si="30"/>
        <v>6.8513273540270356E-2</v>
      </c>
      <c r="K87" s="36">
        <f t="shared" si="31"/>
        <v>3.5986410186132231E-2</v>
      </c>
      <c r="L87" s="38">
        <f t="shared" si="32"/>
        <v>1.6263431677069066E-2</v>
      </c>
      <c r="M87" s="112">
        <f t="shared" si="33"/>
        <v>1.6263431677069062E-2</v>
      </c>
      <c r="N87" s="62">
        <f t="shared" si="34"/>
        <v>0.31126279232862386</v>
      </c>
      <c r="O87" s="39">
        <f t="shared" si="35"/>
        <v>1.3866727055950934E-2</v>
      </c>
      <c r="P87" s="40">
        <f t="shared" si="36"/>
        <v>1.4767302747257419E-2</v>
      </c>
      <c r="Q87" s="136">
        <f t="shared" si="39"/>
        <v>2.4248877217986902</v>
      </c>
      <c r="R87" s="39">
        <f t="shared" si="37"/>
        <v>2.8634029803208352E-2</v>
      </c>
      <c r="S87" s="49">
        <f t="shared" si="38"/>
        <v>0.41239022780742929</v>
      </c>
      <c r="T87" s="39"/>
    </row>
    <row r="88" spans="2:24" x14ac:dyDescent="0.25">
      <c r="C88" s="48"/>
      <c r="D88" s="35">
        <v>0.99998977363839092</v>
      </c>
      <c r="E88" s="49"/>
    </row>
    <row r="89" spans="2:24" x14ac:dyDescent="0.25">
      <c r="B89" s="50"/>
      <c r="C89" s="414" t="s">
        <v>84</v>
      </c>
      <c r="D89" s="415" t="s">
        <v>91</v>
      </c>
      <c r="E89" s="416"/>
      <c r="F89" s="416"/>
      <c r="G89" s="416"/>
      <c r="H89" s="417"/>
      <c r="I89" s="415" t="s">
        <v>92</v>
      </c>
      <c r="J89" s="416"/>
      <c r="K89" s="416"/>
      <c r="L89" s="416"/>
      <c r="M89" s="417"/>
    </row>
    <row r="90" spans="2:24" ht="45" x14ac:dyDescent="0.25">
      <c r="B90" s="50"/>
      <c r="C90" s="414"/>
      <c r="D90" s="165" t="s">
        <v>78</v>
      </c>
      <c r="E90" s="165" t="s">
        <v>93</v>
      </c>
      <c r="F90" s="165" t="s">
        <v>94</v>
      </c>
      <c r="G90" s="166" t="s">
        <v>95</v>
      </c>
      <c r="H90" s="165" t="s">
        <v>90</v>
      </c>
      <c r="I90" s="165" t="s">
        <v>77</v>
      </c>
      <c r="J90" s="165" t="s">
        <v>93</v>
      </c>
      <c r="K90" s="165" t="s">
        <v>94</v>
      </c>
      <c r="L90" s="166" t="s">
        <v>95</v>
      </c>
      <c r="M90" s="165" t="s">
        <v>90</v>
      </c>
      <c r="N90" s="131" t="s">
        <v>115</v>
      </c>
      <c r="P90" t="s">
        <v>116</v>
      </c>
      <c r="R90" s="135" t="s">
        <v>118</v>
      </c>
      <c r="S90" s="135" t="s">
        <v>116</v>
      </c>
      <c r="T90" t="s">
        <v>133</v>
      </c>
      <c r="U90" t="s">
        <v>134</v>
      </c>
      <c r="V90" t="s">
        <v>135</v>
      </c>
    </row>
    <row r="91" spans="2:24" x14ac:dyDescent="0.25">
      <c r="B91" s="51" t="s">
        <v>82</v>
      </c>
      <c r="C91" s="158">
        <v>0.30930000000000002</v>
      </c>
      <c r="D91" s="162">
        <f>AVERAGE(D57,H57,L57,P57)</f>
        <v>0.2004400752652471</v>
      </c>
      <c r="E91" s="52">
        <f t="shared" ref="E91:E103" si="40">MIN(D57,H57,L57,P57)</f>
        <v>8.5284843409244082E-2</v>
      </c>
      <c r="F91" s="53">
        <f t="shared" ref="F91:F103" si="41">MAX(D57,H57,L57,P57)</f>
        <v>0.34941756689539777</v>
      </c>
      <c r="G91" s="86">
        <f t="shared" ref="G91:G103" si="42">STDEV(D57,H57,L57,P57)</f>
        <v>0.12247821761009167</v>
      </c>
      <c r="H91" s="132">
        <f>G91/D91</f>
        <v>0.61104655567512312</v>
      </c>
      <c r="I91" s="163">
        <f t="shared" ref="I91:I103" si="43">AVERAGE(F57,J57,N57,R57)</f>
        <v>0.2286799349032716</v>
      </c>
      <c r="J91" s="52">
        <f t="shared" ref="J91:J103" si="44">MIN(F57,J57,N57,R57)</f>
        <v>0.1318740483934796</v>
      </c>
      <c r="K91" s="53">
        <f t="shared" ref="K91:K103" si="45">MAX(F57,J57,N57,R57)</f>
        <v>0.31546780933357849</v>
      </c>
      <c r="L91" s="88">
        <f t="shared" ref="L91:L103" si="46">STDEV(F57,J57,N57,R57)</f>
        <v>9.9878552757456066E-2</v>
      </c>
      <c r="M91" s="150">
        <f>L91/I91</f>
        <v>0.43676133107044696</v>
      </c>
      <c r="N91" s="39">
        <f>D91-E91</f>
        <v>0.11515523185600302</v>
      </c>
      <c r="O91" s="39">
        <f>F91-D91</f>
        <v>0.14897749163015067</v>
      </c>
      <c r="P91" s="39">
        <f>I91-J91</f>
        <v>9.6805886509791994E-2</v>
      </c>
      <c r="Q91" s="39">
        <f>K91-I91</f>
        <v>8.6787874430306888E-2</v>
      </c>
      <c r="R91" s="156">
        <f>D91/C91</f>
        <v>0.64804421359601383</v>
      </c>
      <c r="S91" s="156">
        <f>I91/C91</f>
        <v>0.73934670191811047</v>
      </c>
      <c r="T91" s="39">
        <f>D91-I91</f>
        <v>-2.82398596380245E-2</v>
      </c>
      <c r="U91" s="239">
        <f>F91-E91</f>
        <v>0.26413272348615369</v>
      </c>
      <c r="V91" s="239">
        <f>K91-J91</f>
        <v>0.18359376094009888</v>
      </c>
    </row>
    <row r="92" spans="2:24" x14ac:dyDescent="0.25">
      <c r="B92" s="54" t="s">
        <v>31</v>
      </c>
      <c r="C92" s="43">
        <v>0.1033</v>
      </c>
      <c r="D92" s="55">
        <f t="shared" ref="D92:D103" si="47">AVERAGE(D58,H58,L58,P58)</f>
        <v>9.7510960613196834E-2</v>
      </c>
      <c r="E92" s="55">
        <f t="shared" si="40"/>
        <v>5.1053135147769914E-2</v>
      </c>
      <c r="F92" s="56">
        <f t="shared" si="41"/>
        <v>0.1498688981473115</v>
      </c>
      <c r="G92" s="87">
        <f t="shared" si="42"/>
        <v>4.3877724137817493E-2</v>
      </c>
      <c r="H92" s="133">
        <f t="shared" ref="H92:H103" si="48">G92/D92</f>
        <v>0.4499773549752028</v>
      </c>
      <c r="I92" s="89">
        <f t="shared" si="43"/>
        <v>0.1196985594793793</v>
      </c>
      <c r="J92" s="55">
        <f t="shared" si="44"/>
        <v>6.8189459579307596E-2</v>
      </c>
      <c r="K92" s="56">
        <f t="shared" si="45"/>
        <v>0.14286545574431972</v>
      </c>
      <c r="L92" s="85">
        <f t="shared" si="46"/>
        <v>3.4665379844344361E-2</v>
      </c>
      <c r="M92" s="151">
        <f t="shared" ref="M92:M103" si="49">L92/I92</f>
        <v>0.28960565603394944</v>
      </c>
      <c r="N92" s="39">
        <f t="shared" ref="N92:N103" si="50">D92-E92</f>
        <v>4.645782546542692E-2</v>
      </c>
      <c r="O92" s="39">
        <f t="shared" ref="O92:O103" si="51">F92-D92</f>
        <v>5.2357937534114662E-2</v>
      </c>
      <c r="P92" s="39">
        <f t="shared" ref="P92:P103" si="52">I92-J92</f>
        <v>5.15090999000717E-2</v>
      </c>
      <c r="Q92" s="39">
        <f t="shared" ref="Q92:Q103" si="53">K92-I92</f>
        <v>2.3166896264940423E-2</v>
      </c>
      <c r="R92" s="156">
        <f t="shared" ref="R92:R103" si="54">D92/C92</f>
        <v>0.9439589604375298</v>
      </c>
      <c r="S92" s="156">
        <f t="shared" ref="S92:S103" si="55">I92/C92</f>
        <v>1.1587469455893447</v>
      </c>
      <c r="T92" s="39">
        <f t="shared" ref="T92:T103" si="56">D92-I92</f>
        <v>-2.2187598866182462E-2</v>
      </c>
      <c r="U92" s="239">
        <f t="shared" ref="U92:U103" si="57">F92-E92</f>
        <v>9.881576299954159E-2</v>
      </c>
      <c r="V92" s="239">
        <f t="shared" ref="V92:V103" si="58">K92-J92</f>
        <v>7.4675996165012123E-2</v>
      </c>
    </row>
    <row r="93" spans="2:24" x14ac:dyDescent="0.25">
      <c r="B93" s="51" t="s">
        <v>37</v>
      </c>
      <c r="C93" s="35">
        <v>5.6899999999999999E-2</v>
      </c>
      <c r="D93" s="162">
        <f t="shared" si="47"/>
        <v>0.10146278078848789</v>
      </c>
      <c r="E93" s="52">
        <f t="shared" si="40"/>
        <v>9.0244069423453394E-2</v>
      </c>
      <c r="F93" s="53">
        <f t="shared" si="41"/>
        <v>0.12625902044351645</v>
      </c>
      <c r="G93" s="86">
        <f t="shared" si="42"/>
        <v>1.6746439436531396E-2</v>
      </c>
      <c r="H93" s="134">
        <f t="shared" si="48"/>
        <v>0.16505007359734686</v>
      </c>
      <c r="I93" s="163">
        <f>AVERAGE(F59,J59,N59,R59)</f>
        <v>6.5476940780024639E-2</v>
      </c>
      <c r="J93" s="52">
        <f t="shared" si="44"/>
        <v>4.125957924287034E-2</v>
      </c>
      <c r="K93" s="53">
        <f t="shared" si="45"/>
        <v>9.2085187450113043E-2</v>
      </c>
      <c r="L93" s="84">
        <f t="shared" si="46"/>
        <v>2.1743861459355418E-2</v>
      </c>
      <c r="M93" s="152">
        <f t="shared" si="49"/>
        <v>0.33208426050944823</v>
      </c>
      <c r="N93" s="39">
        <f t="shared" si="50"/>
        <v>1.1218711365034495E-2</v>
      </c>
      <c r="O93" s="39">
        <f t="shared" si="51"/>
        <v>2.4796239655028557E-2</v>
      </c>
      <c r="P93" s="39">
        <f t="shared" si="52"/>
        <v>2.42173615371543E-2</v>
      </c>
      <c r="Q93" s="39">
        <f t="shared" si="53"/>
        <v>2.6608246670088403E-2</v>
      </c>
      <c r="R93" s="156">
        <f>D93/C93</f>
        <v>1.7831771667572565</v>
      </c>
      <c r="S93" s="156">
        <f>I93/C93</f>
        <v>1.1507370963097476</v>
      </c>
      <c r="T93" s="238">
        <f t="shared" si="56"/>
        <v>3.5985840008463249E-2</v>
      </c>
      <c r="U93" s="39">
        <f t="shared" si="57"/>
        <v>3.6014951020063052E-2</v>
      </c>
      <c r="V93" s="39">
        <f t="shared" si="58"/>
        <v>5.0825608207242703E-2</v>
      </c>
    </row>
    <row r="94" spans="2:24" x14ac:dyDescent="0.25">
      <c r="B94" s="54" t="s">
        <v>83</v>
      </c>
      <c r="C94" s="43">
        <v>1.6899999999999998E-2</v>
      </c>
      <c r="D94" s="169">
        <f t="shared" si="47"/>
        <v>3.8606874400747726E-2</v>
      </c>
      <c r="E94" s="55">
        <f t="shared" si="40"/>
        <v>1.2476199078628366E-2</v>
      </c>
      <c r="F94" s="56">
        <f t="shared" si="41"/>
        <v>6.1849843914138142E-2</v>
      </c>
      <c r="G94" s="87">
        <f t="shared" si="42"/>
        <v>2.453084144101448E-2</v>
      </c>
      <c r="H94" s="133">
        <f t="shared" si="48"/>
        <v>0.63540086634258519</v>
      </c>
      <c r="I94" s="89">
        <f t="shared" si="43"/>
        <v>1.8202225077548626E-2</v>
      </c>
      <c r="J94" s="55">
        <f t="shared" si="44"/>
        <v>9.0643243074044182E-3</v>
      </c>
      <c r="K94" s="56">
        <f t="shared" si="45"/>
        <v>3.1227318130169875E-2</v>
      </c>
      <c r="L94" s="85">
        <f t="shared" si="46"/>
        <v>1.0553845650780307E-2</v>
      </c>
      <c r="M94" s="151">
        <f t="shared" si="49"/>
        <v>0.57981074323698234</v>
      </c>
      <c r="N94" s="39">
        <f t="shared" si="50"/>
        <v>2.6130675322119358E-2</v>
      </c>
      <c r="O94" s="39">
        <f t="shared" si="51"/>
        <v>2.3242969513390416E-2</v>
      </c>
      <c r="P94" s="39">
        <f t="shared" si="52"/>
        <v>9.137900770144208E-3</v>
      </c>
      <c r="Q94" s="39">
        <f t="shared" si="53"/>
        <v>1.3025093052621249E-2</v>
      </c>
      <c r="R94" s="156">
        <f t="shared" si="54"/>
        <v>2.2844304379140667</v>
      </c>
      <c r="S94" s="156">
        <f t="shared" si="55"/>
        <v>1.0770547383164868</v>
      </c>
      <c r="T94" s="39">
        <f t="shared" si="56"/>
        <v>2.04046493231991E-2</v>
      </c>
      <c r="U94" s="239">
        <f t="shared" si="57"/>
        <v>4.9373644835509774E-2</v>
      </c>
      <c r="V94" s="239">
        <f t="shared" si="58"/>
        <v>2.2162993822765459E-2</v>
      </c>
    </row>
    <row r="95" spans="2:24" x14ac:dyDescent="0.25">
      <c r="B95" s="51" t="s">
        <v>46</v>
      </c>
      <c r="C95" s="35">
        <v>2.3199999999999998E-2</v>
      </c>
      <c r="D95" s="52">
        <f t="shared" si="47"/>
        <v>2.9636282864998129E-2</v>
      </c>
      <c r="E95" s="52">
        <f t="shared" si="40"/>
        <v>2.6917940804430745E-3</v>
      </c>
      <c r="F95" s="53">
        <f t="shared" si="41"/>
        <v>4.741274437674764E-2</v>
      </c>
      <c r="G95" s="86">
        <f t="shared" si="42"/>
        <v>2.1127287368614515E-2</v>
      </c>
      <c r="H95" s="134">
        <f t="shared" si="48"/>
        <v>0.71288587252508828</v>
      </c>
      <c r="I95" s="163">
        <f t="shared" si="43"/>
        <v>3.2614428434646903E-2</v>
      </c>
      <c r="J95" s="52">
        <f t="shared" si="44"/>
        <v>2.2898110377078826E-2</v>
      </c>
      <c r="K95" s="53">
        <f t="shared" si="45"/>
        <v>4.877793547467757E-2</v>
      </c>
      <c r="L95" s="84">
        <f t="shared" si="46"/>
        <v>1.1296391501674304E-2</v>
      </c>
      <c r="M95" s="152">
        <f t="shared" si="49"/>
        <v>0.34636178047118377</v>
      </c>
      <c r="N95" s="39">
        <f t="shared" si="50"/>
        <v>2.6944488784555055E-2</v>
      </c>
      <c r="O95" s="39">
        <f t="shared" si="51"/>
        <v>1.7776461511749511E-2</v>
      </c>
      <c r="P95" s="39">
        <f t="shared" si="52"/>
        <v>9.7163180575680769E-3</v>
      </c>
      <c r="Q95" s="39">
        <f t="shared" si="53"/>
        <v>1.6163507040030667E-2</v>
      </c>
      <c r="R95" s="156">
        <f t="shared" si="54"/>
        <v>1.2774259855602643</v>
      </c>
      <c r="S95" s="156">
        <f t="shared" si="55"/>
        <v>1.405794329079608</v>
      </c>
      <c r="T95" s="39">
        <f t="shared" si="56"/>
        <v>-2.9781455696487741E-3</v>
      </c>
      <c r="U95" s="39">
        <f t="shared" si="57"/>
        <v>4.4720950296304567E-2</v>
      </c>
      <c r="V95" s="39">
        <f t="shared" si="58"/>
        <v>2.5879825097598744E-2</v>
      </c>
    </row>
    <row r="96" spans="2:24" x14ac:dyDescent="0.25">
      <c r="B96" s="54" t="s">
        <v>47</v>
      </c>
      <c r="C96" s="43">
        <v>0.105</v>
      </c>
      <c r="D96" s="169">
        <f t="shared" si="47"/>
        <v>0.11842899377658397</v>
      </c>
      <c r="E96" s="55">
        <f t="shared" si="40"/>
        <v>6.052796918135038E-2</v>
      </c>
      <c r="F96" s="56">
        <f t="shared" si="41"/>
        <v>0.18548407507536241</v>
      </c>
      <c r="G96" s="87">
        <f t="shared" si="42"/>
        <v>5.491609586671569E-2</v>
      </c>
      <c r="H96" s="133">
        <f t="shared" si="48"/>
        <v>0.46370482527542856</v>
      </c>
      <c r="I96" s="168">
        <f t="shared" si="43"/>
        <v>0.11947297731110446</v>
      </c>
      <c r="J96" s="55">
        <f t="shared" si="44"/>
        <v>8.9620048155475918E-2</v>
      </c>
      <c r="K96" s="56">
        <f t="shared" si="45"/>
        <v>0.14850388345516141</v>
      </c>
      <c r="L96" s="85">
        <f t="shared" si="46"/>
        <v>2.7578661237700416E-2</v>
      </c>
      <c r="M96" s="151">
        <f t="shared" si="49"/>
        <v>0.23083597528407043</v>
      </c>
      <c r="N96" s="39">
        <f t="shared" si="50"/>
        <v>5.7901024595233594E-2</v>
      </c>
      <c r="O96" s="39">
        <f t="shared" si="51"/>
        <v>6.7055081298778435E-2</v>
      </c>
      <c r="P96" s="39">
        <f t="shared" si="52"/>
        <v>2.9852929155628538E-2</v>
      </c>
      <c r="Q96" s="39">
        <f t="shared" si="53"/>
        <v>2.9030906144056956E-2</v>
      </c>
      <c r="R96" s="156">
        <f t="shared" si="54"/>
        <v>1.1278951788246092</v>
      </c>
      <c r="S96" s="156">
        <f t="shared" si="55"/>
        <v>1.1378378791533759</v>
      </c>
      <c r="T96" s="238">
        <f t="shared" si="56"/>
        <v>-1.0439835345204818E-3</v>
      </c>
      <c r="U96" s="239">
        <f t="shared" si="57"/>
        <v>0.12495610589401203</v>
      </c>
      <c r="V96" s="239">
        <f t="shared" si="58"/>
        <v>5.8883835299685494E-2</v>
      </c>
      <c r="X96" t="s">
        <v>199</v>
      </c>
    </row>
    <row r="97" spans="2:22" x14ac:dyDescent="0.25">
      <c r="B97" s="51" t="s">
        <v>50</v>
      </c>
      <c r="C97" s="35">
        <v>0.1143</v>
      </c>
      <c r="D97" s="52">
        <f t="shared" si="47"/>
        <v>0.2217377140616133</v>
      </c>
      <c r="E97" s="52">
        <f t="shared" si="40"/>
        <v>0.13615990838986267</v>
      </c>
      <c r="F97" s="53">
        <f t="shared" si="41"/>
        <v>0.35952175836181433</v>
      </c>
      <c r="G97" s="86">
        <f t="shared" si="42"/>
        <v>9.6045891931619387E-2</v>
      </c>
      <c r="H97" s="134">
        <f t="shared" si="48"/>
        <v>0.43315090686346452</v>
      </c>
      <c r="I97" s="163">
        <f t="shared" si="43"/>
        <v>0.18621023798866043</v>
      </c>
      <c r="J97" s="52">
        <f t="shared" si="44"/>
        <v>0.14298398263817777</v>
      </c>
      <c r="K97" s="53">
        <f t="shared" si="45"/>
        <v>0.20665651769448698</v>
      </c>
      <c r="L97" s="84">
        <f t="shared" si="46"/>
        <v>2.9237828318008814E-2</v>
      </c>
      <c r="M97" s="152">
        <f t="shared" si="49"/>
        <v>0.15701514929479493</v>
      </c>
      <c r="N97" s="39">
        <f t="shared" si="50"/>
        <v>8.5577805671750634E-2</v>
      </c>
      <c r="O97" s="39">
        <f t="shared" si="51"/>
        <v>0.13778404430020103</v>
      </c>
      <c r="P97" s="39">
        <f t="shared" si="52"/>
        <v>4.3226255350482662E-2</v>
      </c>
      <c r="Q97" s="39">
        <f t="shared" si="53"/>
        <v>2.0446279705826548E-2</v>
      </c>
      <c r="R97" s="156">
        <f t="shared" si="54"/>
        <v>1.9399625027262757</v>
      </c>
      <c r="S97" s="156">
        <f t="shared" si="55"/>
        <v>1.6291359404082277</v>
      </c>
      <c r="T97" s="39">
        <f t="shared" si="56"/>
        <v>3.5527476072952868E-2</v>
      </c>
      <c r="U97" s="39">
        <f t="shared" si="57"/>
        <v>0.22336184997195166</v>
      </c>
      <c r="V97" s="39">
        <f t="shared" si="58"/>
        <v>6.367253505630921E-2</v>
      </c>
    </row>
    <row r="98" spans="2:22" x14ac:dyDescent="0.25">
      <c r="B98" s="54" t="s">
        <v>56</v>
      </c>
      <c r="C98" s="43">
        <v>2.4400000000000002E-2</v>
      </c>
      <c r="D98" s="169">
        <f t="shared" si="47"/>
        <v>2.4665857527999099E-2</v>
      </c>
      <c r="E98" s="55">
        <f t="shared" si="40"/>
        <v>1.3678717373608975E-2</v>
      </c>
      <c r="F98" s="56">
        <f t="shared" si="41"/>
        <v>3.5435306556547176E-2</v>
      </c>
      <c r="G98" s="87">
        <f t="shared" si="42"/>
        <v>9.0557964136462801E-3</v>
      </c>
      <c r="H98" s="133">
        <f t="shared" si="48"/>
        <v>0.36713892486270633</v>
      </c>
      <c r="I98" s="168">
        <f t="shared" si="43"/>
        <v>2.397650738204881E-2</v>
      </c>
      <c r="J98" s="55">
        <f t="shared" si="44"/>
        <v>7.4692748602863878E-3</v>
      </c>
      <c r="K98" s="56">
        <f t="shared" si="45"/>
        <v>4.0480184319202729E-2</v>
      </c>
      <c r="L98" s="85">
        <f t="shared" si="46"/>
        <v>1.6665591042794952E-2</v>
      </c>
      <c r="M98" s="151">
        <f t="shared" si="49"/>
        <v>0.69508001216526083</v>
      </c>
      <c r="N98" s="39">
        <f t="shared" si="50"/>
        <v>1.0987140154390123E-2</v>
      </c>
      <c r="O98" s="39">
        <f t="shared" si="51"/>
        <v>1.0769449028548077E-2</v>
      </c>
      <c r="P98" s="39">
        <f t="shared" si="52"/>
        <v>1.6507232521762422E-2</v>
      </c>
      <c r="Q98" s="39">
        <f t="shared" si="53"/>
        <v>1.6503676937153919E-2</v>
      </c>
      <c r="R98" s="156">
        <f t="shared" si="54"/>
        <v>1.0108958003278319</v>
      </c>
      <c r="S98" s="156">
        <f t="shared" si="55"/>
        <v>0.98264374516593478</v>
      </c>
      <c r="T98" s="238">
        <f t="shared" si="56"/>
        <v>6.8935014595028835E-4</v>
      </c>
      <c r="U98" s="239">
        <f t="shared" si="57"/>
        <v>2.1756589182938199E-2</v>
      </c>
      <c r="V98" s="239">
        <f t="shared" si="58"/>
        <v>3.301090945891634E-2</v>
      </c>
    </row>
    <row r="99" spans="2:22" x14ac:dyDescent="0.25">
      <c r="B99" s="51" t="s">
        <v>57</v>
      </c>
      <c r="C99" s="35">
        <v>5.7500000000000002E-2</v>
      </c>
      <c r="D99" s="52">
        <f t="shared" si="47"/>
        <v>6.2267578477663413E-2</v>
      </c>
      <c r="E99" s="52">
        <f t="shared" si="40"/>
        <v>3.1292412427580213E-2</v>
      </c>
      <c r="F99" s="53">
        <f t="shared" si="41"/>
        <v>9.2458837304430025E-2</v>
      </c>
      <c r="G99" s="86">
        <f t="shared" si="42"/>
        <v>2.6778967295242689E-2</v>
      </c>
      <c r="H99" s="134">
        <f t="shared" si="48"/>
        <v>0.43006277022397493</v>
      </c>
      <c r="I99" s="163">
        <f t="shared" si="43"/>
        <v>8.651240306957779E-2</v>
      </c>
      <c r="J99" s="52">
        <f t="shared" si="44"/>
        <v>4.5928710490846729E-2</v>
      </c>
      <c r="K99" s="53">
        <f t="shared" si="45"/>
        <v>0.16257309924043348</v>
      </c>
      <c r="L99" s="84">
        <f t="shared" si="46"/>
        <v>5.2591427064863756E-2</v>
      </c>
      <c r="M99" s="152">
        <f t="shared" si="49"/>
        <v>0.60790620996352385</v>
      </c>
      <c r="N99" s="39">
        <f t="shared" si="50"/>
        <v>3.09751660500832E-2</v>
      </c>
      <c r="O99" s="39">
        <f t="shared" si="51"/>
        <v>3.0191258826766612E-2</v>
      </c>
      <c r="P99" s="39">
        <f t="shared" si="52"/>
        <v>4.0583692578731061E-2</v>
      </c>
      <c r="Q99" s="39">
        <f t="shared" si="53"/>
        <v>7.6060696170855688E-2</v>
      </c>
      <c r="R99" s="156">
        <f t="shared" si="54"/>
        <v>1.0829144083071898</v>
      </c>
      <c r="S99" s="156">
        <f t="shared" si="55"/>
        <v>1.5045635316448311</v>
      </c>
      <c r="T99" s="238">
        <f t="shared" si="56"/>
        <v>-2.4244824591914377E-2</v>
      </c>
      <c r="U99" s="39">
        <f t="shared" si="57"/>
        <v>6.1166424876849812E-2</v>
      </c>
      <c r="V99" s="39">
        <f t="shared" si="58"/>
        <v>0.11664438874958674</v>
      </c>
    </row>
    <row r="100" spans="2:22" x14ac:dyDescent="0.25">
      <c r="B100" s="54" t="s">
        <v>60</v>
      </c>
      <c r="C100" s="43">
        <v>2.87E-2</v>
      </c>
      <c r="D100" s="55">
        <f>AVERAGE(D66,H66,L66,P66)</f>
        <v>4.0273000640664955E-2</v>
      </c>
      <c r="E100" s="55">
        <f t="shared" si="40"/>
        <v>1.8168645184332862E-2</v>
      </c>
      <c r="F100" s="56">
        <f t="shared" si="41"/>
        <v>5.1922409432352802E-2</v>
      </c>
      <c r="G100" s="87">
        <f t="shared" si="42"/>
        <v>1.5153034015268955E-2</v>
      </c>
      <c r="H100" s="133">
        <f t="shared" si="48"/>
        <v>0.37625788429502932</v>
      </c>
      <c r="I100" s="168">
        <f t="shared" si="43"/>
        <v>2.5569571056949479E-2</v>
      </c>
      <c r="J100" s="55">
        <f t="shared" si="44"/>
        <v>3.8438995996468712E-3</v>
      </c>
      <c r="K100" s="56">
        <f t="shared" si="45"/>
        <v>4.2015958974604625E-2</v>
      </c>
      <c r="L100" s="85">
        <f t="shared" si="46"/>
        <v>1.5948783699775052E-2</v>
      </c>
      <c r="M100" s="151">
        <f t="shared" si="49"/>
        <v>0.62374076061946204</v>
      </c>
      <c r="N100" s="39">
        <f t="shared" si="50"/>
        <v>2.2104355456332093E-2</v>
      </c>
      <c r="O100" s="39">
        <f t="shared" si="51"/>
        <v>1.1649408791687847E-2</v>
      </c>
      <c r="P100" s="39">
        <f t="shared" si="52"/>
        <v>2.1725671457302607E-2</v>
      </c>
      <c r="Q100" s="39">
        <f t="shared" si="53"/>
        <v>1.6446387917655146E-2</v>
      </c>
      <c r="R100" s="156">
        <f t="shared" si="54"/>
        <v>1.4032404404412877</v>
      </c>
      <c r="S100" s="156">
        <f t="shared" si="55"/>
        <v>0.89092582079963345</v>
      </c>
      <c r="T100" s="39">
        <f t="shared" si="56"/>
        <v>1.4703429583715476E-2</v>
      </c>
      <c r="U100" s="39">
        <f t="shared" si="57"/>
        <v>3.3753764248019943E-2</v>
      </c>
      <c r="V100" s="39">
        <f t="shared" si="58"/>
        <v>3.8172059374957754E-2</v>
      </c>
    </row>
    <row r="101" spans="2:22" x14ac:dyDescent="0.25">
      <c r="B101" s="51" t="s">
        <v>67</v>
      </c>
      <c r="C101" s="35">
        <v>2.5700000000000001E-2</v>
      </c>
      <c r="D101" s="245">
        <f t="shared" si="47"/>
        <v>3.1616666194973718E-3</v>
      </c>
      <c r="E101" s="52">
        <f t="shared" si="40"/>
        <v>0</v>
      </c>
      <c r="F101" s="53">
        <f t="shared" si="41"/>
        <v>1.0601132244916019E-2</v>
      </c>
      <c r="G101" s="86">
        <f t="shared" si="42"/>
        <v>5.0525132993886604E-3</v>
      </c>
      <c r="H101" s="134">
        <f t="shared" si="48"/>
        <v>1.5980537822143586</v>
      </c>
      <c r="I101" s="163">
        <f t="shared" si="43"/>
        <v>2.5016145754873022E-2</v>
      </c>
      <c r="J101" s="52">
        <f t="shared" si="44"/>
        <v>0</v>
      </c>
      <c r="K101" s="53">
        <f t="shared" si="45"/>
        <v>5.2883464426231777E-2</v>
      </c>
      <c r="L101" s="84">
        <f t="shared" si="46"/>
        <v>2.1832523076083007E-2</v>
      </c>
      <c r="M101" s="152">
        <f t="shared" si="49"/>
        <v>0.87273728295375552</v>
      </c>
      <c r="N101" s="39">
        <f t="shared" si="50"/>
        <v>3.1616666194973718E-3</v>
      </c>
      <c r="O101" s="39">
        <f t="shared" si="51"/>
        <v>7.4394656254186467E-3</v>
      </c>
      <c r="P101" s="39">
        <f t="shared" si="52"/>
        <v>2.5016145754873022E-2</v>
      </c>
      <c r="Q101" s="39">
        <f t="shared" si="53"/>
        <v>2.7867318671358755E-2</v>
      </c>
      <c r="R101" s="156">
        <f t="shared" si="54"/>
        <v>0.12302204745125961</v>
      </c>
      <c r="S101" s="156">
        <f t="shared" si="55"/>
        <v>0.97339088540361951</v>
      </c>
      <c r="T101" s="39">
        <f t="shared" si="56"/>
        <v>-2.1854479135375651E-2</v>
      </c>
      <c r="U101" s="39">
        <f t="shared" si="57"/>
        <v>1.0601132244916019E-2</v>
      </c>
      <c r="V101" s="39">
        <f t="shared" si="58"/>
        <v>5.2883464426231777E-2</v>
      </c>
    </row>
    <row r="102" spans="2:22" x14ac:dyDescent="0.25">
      <c r="B102" s="54" t="s">
        <v>69</v>
      </c>
      <c r="C102" s="43">
        <v>8.0999999999999996E-3</v>
      </c>
      <c r="D102" s="246">
        <f t="shared" si="47"/>
        <v>1.1224489806373583E-2</v>
      </c>
      <c r="E102" s="55">
        <f t="shared" si="40"/>
        <v>8.1503737845973817E-4</v>
      </c>
      <c r="F102" s="56">
        <f t="shared" si="41"/>
        <v>3.1529101038163129E-2</v>
      </c>
      <c r="G102" s="87">
        <f t="shared" si="42"/>
        <v>1.3829797140654328E-2</v>
      </c>
      <c r="H102" s="133">
        <f t="shared" si="48"/>
        <v>1.232109198656083</v>
      </c>
      <c r="I102" s="247">
        <f t="shared" si="43"/>
        <v>1.465411019243907E-2</v>
      </c>
      <c r="J102" s="55">
        <f t="shared" si="44"/>
        <v>4.3330867123552065E-4</v>
      </c>
      <c r="K102" s="56">
        <f t="shared" si="45"/>
        <v>4.0317391580352829E-2</v>
      </c>
      <c r="L102" s="85">
        <f t="shared" si="46"/>
        <v>1.7787815545836583E-2</v>
      </c>
      <c r="M102" s="151">
        <f t="shared" si="49"/>
        <v>1.2138448061496343</v>
      </c>
      <c r="N102" s="39">
        <f t="shared" si="50"/>
        <v>1.0409452427913845E-2</v>
      </c>
      <c r="O102" s="39">
        <f t="shared" si="51"/>
        <v>2.0304611231789546E-2</v>
      </c>
      <c r="P102" s="39">
        <f t="shared" si="52"/>
        <v>1.4220801521203549E-2</v>
      </c>
      <c r="Q102" s="39">
        <f t="shared" si="53"/>
        <v>2.566328138791376E-2</v>
      </c>
      <c r="R102" s="156">
        <f t="shared" si="54"/>
        <v>1.3857394822683438</v>
      </c>
      <c r="S102" s="156">
        <f t="shared" si="55"/>
        <v>1.8091494064739593</v>
      </c>
      <c r="T102" s="39">
        <f t="shared" si="56"/>
        <v>-3.4296203860654864E-3</v>
      </c>
      <c r="U102" s="39">
        <f t="shared" si="57"/>
        <v>3.0714063659703392E-2</v>
      </c>
      <c r="V102" s="39">
        <f t="shared" si="58"/>
        <v>3.988408290911731E-2</v>
      </c>
    </row>
    <row r="103" spans="2:22" x14ac:dyDescent="0.25">
      <c r="B103" s="57" t="s">
        <v>74</v>
      </c>
      <c r="C103" s="35">
        <v>0.12670000000000001</v>
      </c>
      <c r="D103" s="245">
        <f t="shared" si="47"/>
        <v>5.0583725156926655E-2</v>
      </c>
      <c r="E103" s="52">
        <f t="shared" si="40"/>
        <v>4.0135954492021141E-2</v>
      </c>
      <c r="F103" s="53">
        <f t="shared" si="41"/>
        <v>6.1044261766321259E-2</v>
      </c>
      <c r="G103" s="86">
        <f t="shared" si="42"/>
        <v>8.9828002910632473E-3</v>
      </c>
      <c r="H103" s="134">
        <f t="shared" si="48"/>
        <v>0.17758281469377296</v>
      </c>
      <c r="I103" s="163">
        <f t="shared" si="43"/>
        <v>5.3915958569475939E-2</v>
      </c>
      <c r="J103" s="52">
        <f t="shared" si="44"/>
        <v>3.838311480725036E-2</v>
      </c>
      <c r="K103" s="53">
        <f t="shared" si="45"/>
        <v>6.7017144610458712E-2</v>
      </c>
      <c r="L103" s="84">
        <f t="shared" si="46"/>
        <v>1.3105939575336794E-2</v>
      </c>
      <c r="M103" s="152">
        <f t="shared" si="49"/>
        <v>0.24308089706776745</v>
      </c>
      <c r="N103" s="39">
        <f t="shared" si="50"/>
        <v>1.0447770664905515E-2</v>
      </c>
      <c r="O103" s="39">
        <f t="shared" si="51"/>
        <v>1.0460536609394604E-2</v>
      </c>
      <c r="P103" s="39">
        <f t="shared" si="52"/>
        <v>1.5532843762225579E-2</v>
      </c>
      <c r="Q103" s="39">
        <f t="shared" si="53"/>
        <v>1.3101186040982774E-2</v>
      </c>
      <c r="R103" s="156">
        <f t="shared" si="54"/>
        <v>0.39924013541378572</v>
      </c>
      <c r="S103" s="156">
        <f t="shared" si="55"/>
        <v>0.42554032020107291</v>
      </c>
      <c r="T103" s="39">
        <f t="shared" si="56"/>
        <v>-3.3322334125492833E-3</v>
      </c>
      <c r="U103" s="39">
        <f t="shared" si="57"/>
        <v>2.0908307274300118E-2</v>
      </c>
      <c r="V103" s="39">
        <f t="shared" si="58"/>
        <v>2.8634029803208352E-2</v>
      </c>
    </row>
    <row r="105" spans="2:22" x14ac:dyDescent="0.25">
      <c r="C105" s="382" t="s">
        <v>91</v>
      </c>
      <c r="D105" s="382"/>
      <c r="E105" s="382"/>
      <c r="F105" s="382"/>
      <c r="G105" s="382"/>
      <c r="H105" s="382" t="s">
        <v>92</v>
      </c>
      <c r="I105" s="382"/>
      <c r="J105" s="382"/>
      <c r="K105" s="382"/>
      <c r="L105" s="382"/>
    </row>
    <row r="106" spans="2:22" ht="25.5" x14ac:dyDescent="0.25">
      <c r="C106" s="114" t="s">
        <v>103</v>
      </c>
      <c r="D106" s="114" t="s">
        <v>104</v>
      </c>
      <c r="E106" s="114" t="s">
        <v>105</v>
      </c>
      <c r="F106" s="114" t="s">
        <v>113</v>
      </c>
      <c r="G106" s="114" t="s">
        <v>114</v>
      </c>
      <c r="H106" s="114" t="s">
        <v>103</v>
      </c>
      <c r="I106" s="114" t="s">
        <v>104</v>
      </c>
      <c r="J106" s="114" t="s">
        <v>105</v>
      </c>
      <c r="K106" s="114" t="s">
        <v>113</v>
      </c>
      <c r="L106" s="114" t="s">
        <v>114</v>
      </c>
    </row>
    <row r="107" spans="2:22" x14ac:dyDescent="0.25">
      <c r="B107" s="51" t="s">
        <v>82</v>
      </c>
      <c r="C107" s="115">
        <f t="shared" ref="C107:C119" si="59">D91+SQRT((1/0.05)-1)*(G91/SQRT(4))</f>
        <v>0.4673751619389338</v>
      </c>
      <c r="D107" s="67">
        <f t="shared" ref="D107:D119" si="60">D91-(SQRT((1/0.05)-1)*G91/SQRT(4))</f>
        <v>-6.6495011408439608E-2</v>
      </c>
      <c r="E107" s="67">
        <f t="shared" ref="E107:E119" si="61">SQRT((1/0.05)-1)*(G91/SQRT(4))</f>
        <v>0.26693508667368671</v>
      </c>
      <c r="F107" s="115">
        <f>(C107-D107)/2</f>
        <v>0.26693508667368671</v>
      </c>
      <c r="G107" s="67">
        <f t="shared" ref="G107:G119" si="62">F107/D91</f>
        <v>1.3317450929932309</v>
      </c>
      <c r="H107" s="67">
        <f t="shared" ref="H107:H119" si="63">I91+SQRT((1/0.05)-1)*(L91/SQRT(4))</f>
        <v>0.44636019395169496</v>
      </c>
      <c r="I107" s="67">
        <f t="shared" ref="I107:I119" si="64">I91-(SQRT((1/0.05)-1)*L91/SQRT(4))</f>
        <v>1.0999675854848234E-2</v>
      </c>
      <c r="J107" s="115">
        <f t="shared" ref="J107:J119" si="65">SQRT((1/0.05)-1)*(L91/SQRT(4))</f>
        <v>0.21768025904842336</v>
      </c>
      <c r="K107" s="115">
        <f>(H107-I107)/2</f>
        <v>0.21768025904842336</v>
      </c>
      <c r="L107" s="115">
        <f t="shared" ref="L107:L119" si="66">K107/I91</f>
        <v>0.95189925229119488</v>
      </c>
    </row>
    <row r="108" spans="2:22" x14ac:dyDescent="0.25">
      <c r="B108" s="54" t="s">
        <v>31</v>
      </c>
      <c r="C108" s="116">
        <f t="shared" si="59"/>
        <v>0.19314024330784774</v>
      </c>
      <c r="D108" s="117">
        <f t="shared" si="60"/>
        <v>1.881677918545932E-3</v>
      </c>
      <c r="E108" s="117">
        <f t="shared" si="61"/>
        <v>9.5629282694650902E-2</v>
      </c>
      <c r="F108" s="116">
        <f t="shared" ref="F108:F119" si="67">(C108-D108)/2</f>
        <v>9.5629282694650902E-2</v>
      </c>
      <c r="G108" s="117">
        <f t="shared" si="62"/>
        <v>0.98070290860931919</v>
      </c>
      <c r="H108" s="117">
        <f t="shared" si="63"/>
        <v>0.1952500032698537</v>
      </c>
      <c r="I108" s="117">
        <f t="shared" si="64"/>
        <v>4.4147115688904892E-2</v>
      </c>
      <c r="J108" s="116">
        <f t="shared" si="65"/>
        <v>7.5551443790474404E-2</v>
      </c>
      <c r="K108" s="116">
        <f t="shared" ref="K108:K119" si="68">(H108-I108)/2</f>
        <v>7.5551443790474404E-2</v>
      </c>
      <c r="L108" s="118">
        <f t="shared" si="66"/>
        <v>0.63118089406489308</v>
      </c>
    </row>
    <row r="109" spans="2:22" x14ac:dyDescent="0.25">
      <c r="B109" s="51" t="s">
        <v>37</v>
      </c>
      <c r="C109" s="115">
        <f t="shared" si="59"/>
        <v>0.13796079937247019</v>
      </c>
      <c r="D109" s="67">
        <f t="shared" si="60"/>
        <v>6.4964762204505588E-2</v>
      </c>
      <c r="E109" s="67">
        <f t="shared" si="61"/>
        <v>3.6498018583982293E-2</v>
      </c>
      <c r="F109" s="115">
        <f t="shared" si="67"/>
        <v>3.64980185839823E-2</v>
      </c>
      <c r="G109" s="67">
        <f t="shared" si="62"/>
        <v>0.35971829571739294</v>
      </c>
      <c r="H109" s="67">
        <f t="shared" si="63"/>
        <v>0.11286658815186419</v>
      </c>
      <c r="I109" s="67">
        <f t="shared" si="64"/>
        <v>1.8087293408185087E-2</v>
      </c>
      <c r="J109" s="115">
        <f t="shared" si="65"/>
        <v>4.7389647371839552E-2</v>
      </c>
      <c r="K109" s="115">
        <f t="shared" si="68"/>
        <v>4.7389647371839552E-2</v>
      </c>
      <c r="L109" s="115">
        <f t="shared" si="66"/>
        <v>0.7237608661505599</v>
      </c>
    </row>
    <row r="110" spans="2:22" x14ac:dyDescent="0.25">
      <c r="B110" s="54" t="s">
        <v>83</v>
      </c>
      <c r="C110" s="116">
        <f t="shared" si="59"/>
        <v>9.2070603821448632E-2</v>
      </c>
      <c r="D110" s="117">
        <f t="shared" si="60"/>
        <v>-1.4856855019953173E-2</v>
      </c>
      <c r="E110" s="117">
        <f t="shared" si="61"/>
        <v>5.3463729420700899E-2</v>
      </c>
      <c r="F110" s="116">
        <f t="shared" si="67"/>
        <v>5.3463729420700906E-2</v>
      </c>
      <c r="G110" s="117">
        <f t="shared" si="62"/>
        <v>1.384824082512762</v>
      </c>
      <c r="H110" s="117">
        <f t="shared" si="63"/>
        <v>4.1203798406287434E-2</v>
      </c>
      <c r="I110" s="117">
        <f t="shared" si="64"/>
        <v>-4.7993482511901817E-3</v>
      </c>
      <c r="J110" s="116">
        <f t="shared" si="65"/>
        <v>2.3001573328738808E-2</v>
      </c>
      <c r="K110" s="116">
        <f>(H110-I110)/2</f>
        <v>2.3001573328738808E-2</v>
      </c>
      <c r="L110" s="116">
        <f t="shared" si="66"/>
        <v>1.2636682180746075</v>
      </c>
    </row>
    <row r="111" spans="2:22" x14ac:dyDescent="0.25">
      <c r="B111" s="51" t="s">
        <v>46</v>
      </c>
      <c r="C111" s="115">
        <f t="shared" si="59"/>
        <v>7.5682138160465151E-2</v>
      </c>
      <c r="D111" s="67">
        <f t="shared" si="60"/>
        <v>-1.6409572430468887E-2</v>
      </c>
      <c r="E111" s="67">
        <f t="shared" si="61"/>
        <v>4.6045855295467016E-2</v>
      </c>
      <c r="F111" s="115">
        <f t="shared" si="67"/>
        <v>4.6045855295467022E-2</v>
      </c>
      <c r="G111" s="67">
        <f t="shared" si="62"/>
        <v>1.5536987383073397</v>
      </c>
      <c r="H111" s="67">
        <f t="shared" si="63"/>
        <v>5.7234342925881893E-2</v>
      </c>
      <c r="I111" s="67">
        <f t="shared" si="64"/>
        <v>7.9945139434119163E-3</v>
      </c>
      <c r="J111" s="115">
        <f t="shared" si="65"/>
        <v>2.4619914491234986E-2</v>
      </c>
      <c r="K111" s="115">
        <f t="shared" si="68"/>
        <v>2.461991449123499E-2</v>
      </c>
      <c r="L111" s="115">
        <f t="shared" si="66"/>
        <v>0.75487799948935497</v>
      </c>
    </row>
    <row r="112" spans="2:22" x14ac:dyDescent="0.25">
      <c r="B112" s="54" t="s">
        <v>47</v>
      </c>
      <c r="C112" s="116">
        <f t="shared" si="59"/>
        <v>0.23811584990498669</v>
      </c>
      <c r="D112" s="117">
        <f t="shared" si="60"/>
        <v>-1.2578623518187254E-3</v>
      </c>
      <c r="E112" s="117">
        <f t="shared" si="61"/>
        <v>0.1196868561284027</v>
      </c>
      <c r="F112" s="116">
        <f t="shared" si="67"/>
        <v>0.11968685612840271</v>
      </c>
      <c r="G112" s="117">
        <f t="shared" si="62"/>
        <v>1.0106212365038894</v>
      </c>
      <c r="H112" s="117">
        <f t="shared" si="63"/>
        <v>0.1795792759777437</v>
      </c>
      <c r="I112" s="117">
        <f t="shared" si="64"/>
        <v>5.9366678644465216E-2</v>
      </c>
      <c r="J112" s="116">
        <f t="shared" si="65"/>
        <v>6.0106298666639239E-2</v>
      </c>
      <c r="K112" s="116">
        <f t="shared" si="68"/>
        <v>6.0106298666639246E-2</v>
      </c>
      <c r="L112" s="116">
        <f t="shared" si="66"/>
        <v>0.50309534439845793</v>
      </c>
    </row>
    <row r="113" spans="1:14" x14ac:dyDescent="0.25">
      <c r="B113" s="51" t="s">
        <v>50</v>
      </c>
      <c r="C113" s="115">
        <f t="shared" si="59"/>
        <v>0.43106488249769204</v>
      </c>
      <c r="D113" s="67">
        <f t="shared" si="60"/>
        <v>1.2410545625534564E-2</v>
      </c>
      <c r="E113" s="67">
        <f t="shared" si="61"/>
        <v>0.20932716843607874</v>
      </c>
      <c r="F113" s="115">
        <f t="shared" si="67"/>
        <v>0.20932716843607874</v>
      </c>
      <c r="G113" s="68">
        <f t="shared" si="62"/>
        <v>0.94403051516042014</v>
      </c>
      <c r="H113" s="67">
        <f t="shared" si="63"/>
        <v>0.24993260747205653</v>
      </c>
      <c r="I113" s="67">
        <f t="shared" si="64"/>
        <v>0.12248786850526432</v>
      </c>
      <c r="J113" s="115">
        <f t="shared" si="65"/>
        <v>6.3722369483396116E-2</v>
      </c>
      <c r="K113" s="115">
        <f t="shared" si="68"/>
        <v>6.3722369483396102E-2</v>
      </c>
      <c r="L113" s="115">
        <f t="shared" si="66"/>
        <v>0.34220658419048139</v>
      </c>
    </row>
    <row r="114" spans="1:14" x14ac:dyDescent="0.25">
      <c r="B114" s="54" t="s">
        <v>56</v>
      </c>
      <c r="C114" s="116">
        <f t="shared" si="59"/>
        <v>4.4402508238180191E-2</v>
      </c>
      <c r="D114" s="117">
        <f t="shared" si="60"/>
        <v>4.9292068178180028E-3</v>
      </c>
      <c r="E114" s="117">
        <f t="shared" si="61"/>
        <v>1.9736650710181096E-2</v>
      </c>
      <c r="F114" s="116">
        <f t="shared" si="67"/>
        <v>1.9736650710181096E-2</v>
      </c>
      <c r="G114" s="117">
        <f t="shared" si="62"/>
        <v>0.80016073585835468</v>
      </c>
      <c r="H114" s="117">
        <f t="shared" si="63"/>
        <v>6.0298320977008726E-2</v>
      </c>
      <c r="I114" s="117">
        <f t="shared" si="64"/>
        <v>-1.2345306212911106E-2</v>
      </c>
      <c r="J114" s="116">
        <f t="shared" si="65"/>
        <v>3.6321813594959916E-2</v>
      </c>
      <c r="K114" s="116">
        <f t="shared" si="68"/>
        <v>3.6321813594959916E-2</v>
      </c>
      <c r="L114" s="116">
        <f t="shared" si="66"/>
        <v>1.5148917653516969</v>
      </c>
    </row>
    <row r="115" spans="1:14" x14ac:dyDescent="0.25">
      <c r="B115" s="51" t="s">
        <v>57</v>
      </c>
      <c r="C115" s="115">
        <f t="shared" si="59"/>
        <v>0.12063098460383523</v>
      </c>
      <c r="D115" s="67">
        <f t="shared" si="60"/>
        <v>3.9041723514916041E-3</v>
      </c>
      <c r="E115" s="67">
        <f t="shared" si="61"/>
        <v>5.8363406126171809E-2</v>
      </c>
      <c r="F115" s="115">
        <f t="shared" si="67"/>
        <v>5.8363406126171816E-2</v>
      </c>
      <c r="G115" s="67">
        <f t="shared" si="62"/>
        <v>0.93730007739273014</v>
      </c>
      <c r="H115" s="67">
        <f t="shared" si="63"/>
        <v>0.20113276100574329</v>
      </c>
      <c r="I115" s="67">
        <f t="shared" si="64"/>
        <v>-2.8107954866587723E-2</v>
      </c>
      <c r="J115" s="115">
        <f t="shared" si="65"/>
        <v>0.11462035793616551</v>
      </c>
      <c r="K115" s="115">
        <f t="shared" si="68"/>
        <v>0.11462035793616551</v>
      </c>
      <c r="L115" s="115">
        <f t="shared" si="66"/>
        <v>1.3249008681909094</v>
      </c>
    </row>
    <row r="116" spans="1:14" x14ac:dyDescent="0.25">
      <c r="B116" s="54" t="s">
        <v>60</v>
      </c>
      <c r="C116" s="116">
        <f t="shared" si="59"/>
        <v>7.3298272620960836E-2</v>
      </c>
      <c r="D116" s="117">
        <f t="shared" si="60"/>
        <v>7.2477286603690808E-3</v>
      </c>
      <c r="E116" s="117">
        <f t="shared" si="61"/>
        <v>3.3025271980295874E-2</v>
      </c>
      <c r="F116" s="116">
        <f t="shared" si="67"/>
        <v>3.3025271980295881E-2</v>
      </c>
      <c r="G116" s="117">
        <f t="shared" si="62"/>
        <v>0.82003504717622633</v>
      </c>
      <c r="H116" s="117">
        <f t="shared" si="63"/>
        <v>6.0329139266803576E-2</v>
      </c>
      <c r="I116" s="117">
        <f t="shared" si="64"/>
        <v>-9.1899971529046179E-3</v>
      </c>
      <c r="J116" s="116">
        <f t="shared" si="65"/>
        <v>3.4759568209854097E-2</v>
      </c>
      <c r="K116" s="116">
        <f t="shared" si="68"/>
        <v>3.4759568209854097E-2</v>
      </c>
      <c r="L116" s="116">
        <f t="shared" si="66"/>
        <v>1.3594114712537149</v>
      </c>
    </row>
    <row r="117" spans="1:14" x14ac:dyDescent="0.25">
      <c r="B117" s="51" t="s">
        <v>67</v>
      </c>
      <c r="C117" s="115">
        <f t="shared" si="59"/>
        <v>1.417336406096259E-2</v>
      </c>
      <c r="D117" s="67">
        <f t="shared" si="60"/>
        <v>-7.8500308219678454E-3</v>
      </c>
      <c r="E117" s="67">
        <f t="shared" si="61"/>
        <v>1.1011697441465218E-2</v>
      </c>
      <c r="F117" s="115">
        <f t="shared" si="67"/>
        <v>1.1011697441465218E-2</v>
      </c>
      <c r="G117" s="67">
        <f t="shared" si="62"/>
        <v>3.4828774715076727</v>
      </c>
      <c r="H117" s="67">
        <f t="shared" si="63"/>
        <v>7.2599026640455824E-2</v>
      </c>
      <c r="I117" s="67">
        <f t="shared" si="64"/>
        <v>-2.2566735130709781E-2</v>
      </c>
      <c r="J117" s="115">
        <f t="shared" si="65"/>
        <v>4.7582880885582803E-2</v>
      </c>
      <c r="K117" s="115">
        <f t="shared" si="68"/>
        <v>4.7582880885582803E-2</v>
      </c>
      <c r="L117" s="115">
        <f t="shared" si="66"/>
        <v>1.9020868103278417</v>
      </c>
    </row>
    <row r="118" spans="1:14" x14ac:dyDescent="0.25">
      <c r="B118" s="54" t="s">
        <v>69</v>
      </c>
      <c r="C118" s="116">
        <f t="shared" si="59"/>
        <v>4.1365833879263576E-2</v>
      </c>
      <c r="D118" s="117">
        <f t="shared" si="60"/>
        <v>-1.891685426651641E-2</v>
      </c>
      <c r="E118" s="117">
        <f t="shared" si="61"/>
        <v>3.0141344072889993E-2</v>
      </c>
      <c r="F118" s="116">
        <f t="shared" si="67"/>
        <v>3.0141344072889993E-2</v>
      </c>
      <c r="G118" s="117">
        <f t="shared" si="62"/>
        <v>2.6853197421743733</v>
      </c>
      <c r="H118" s="117">
        <f t="shared" si="63"/>
        <v>5.3421755387760797E-2</v>
      </c>
      <c r="I118" s="117">
        <f t="shared" si="64"/>
        <v>-2.4113535002882658E-2</v>
      </c>
      <c r="J118" s="116">
        <f t="shared" si="65"/>
        <v>3.8767645195321727E-2</v>
      </c>
      <c r="K118" s="116">
        <f t="shared" si="68"/>
        <v>3.8767645195321727E-2</v>
      </c>
      <c r="L118" s="116">
        <f t="shared" si="66"/>
        <v>2.6455134215739875</v>
      </c>
    </row>
    <row r="119" spans="1:14" x14ac:dyDescent="0.25">
      <c r="B119" s="57" t="s">
        <v>74</v>
      </c>
      <c r="C119" s="115">
        <f t="shared" si="59"/>
        <v>7.0161284506302879E-2</v>
      </c>
      <c r="D119" s="67">
        <f t="shared" si="60"/>
        <v>3.1006165807550432E-2</v>
      </c>
      <c r="E119" s="67">
        <f t="shared" si="61"/>
        <v>1.9577559349376224E-2</v>
      </c>
      <c r="F119" s="115">
        <f t="shared" si="67"/>
        <v>1.9577559349376224E-2</v>
      </c>
      <c r="G119" s="67">
        <f t="shared" si="62"/>
        <v>0.38703277167983308</v>
      </c>
      <c r="H119" s="67">
        <f t="shared" si="63"/>
        <v>8.2479691653997669E-2</v>
      </c>
      <c r="I119" s="67">
        <f t="shared" si="64"/>
        <v>2.5352225484954208E-2</v>
      </c>
      <c r="J119" s="115">
        <f t="shared" si="65"/>
        <v>2.8563733084521731E-2</v>
      </c>
      <c r="K119" s="115">
        <f t="shared" si="68"/>
        <v>2.8563733084521731E-2</v>
      </c>
      <c r="L119" s="115">
        <f t="shared" si="66"/>
        <v>0.52978253271180542</v>
      </c>
    </row>
    <row r="120" spans="1:14" x14ac:dyDescent="0.25">
      <c r="D120" s="39"/>
    </row>
    <row r="121" spans="1:14" x14ac:dyDescent="0.25">
      <c r="D121" s="39"/>
    </row>
    <row r="124" spans="1:14" ht="15.75" thickBot="1" x14ac:dyDescent="0.3"/>
    <row r="125" spans="1:14" ht="22.5" customHeight="1" x14ac:dyDescent="0.25">
      <c r="A125" s="208" t="s">
        <v>20</v>
      </c>
      <c r="B125" s="209" t="s">
        <v>21</v>
      </c>
      <c r="C125" s="210" t="s">
        <v>85</v>
      </c>
      <c r="D125" s="210" t="s">
        <v>92</v>
      </c>
      <c r="E125" s="211" t="s">
        <v>91</v>
      </c>
    </row>
    <row r="126" spans="1:14" ht="18" customHeight="1" x14ac:dyDescent="0.25">
      <c r="A126" s="379" t="s">
        <v>31</v>
      </c>
      <c r="B126" s="58" t="s">
        <v>33</v>
      </c>
      <c r="C126" s="83">
        <f>T12</f>
        <v>3.5422346591602184E-2</v>
      </c>
      <c r="D126" s="83">
        <f>V12</f>
        <v>5.234762425982651E-2</v>
      </c>
      <c r="E126" s="212">
        <f>X12</f>
        <v>1.8497068923377859E-2</v>
      </c>
      <c r="F126" s="39"/>
      <c r="H126" s="39"/>
    </row>
    <row r="127" spans="1:14" ht="18" customHeight="1" x14ac:dyDescent="0.25">
      <c r="A127" s="380"/>
      <c r="B127" s="144" t="s">
        <v>34</v>
      </c>
      <c r="C127" s="145">
        <f>T13</f>
        <v>1.5235107858792264E-2</v>
      </c>
      <c r="D127" s="145">
        <f>V13</f>
        <v>1.0952864070881996E-2</v>
      </c>
      <c r="E127" s="213">
        <f>X13</f>
        <v>1.9517351646702531E-2</v>
      </c>
      <c r="F127" s="39"/>
    </row>
    <row r="128" spans="1:14" ht="18" customHeight="1" x14ac:dyDescent="0.25">
      <c r="A128" s="380"/>
      <c r="B128" s="207" t="s">
        <v>35</v>
      </c>
      <c r="C128" s="61">
        <f>T14</f>
        <v>2.863559027639442E-2</v>
      </c>
      <c r="D128" s="61">
        <f>V14</f>
        <v>2.2572842878130172E-2</v>
      </c>
      <c r="E128" s="214">
        <f>X14</f>
        <v>3.4698337674658658E-2</v>
      </c>
      <c r="F128" s="39"/>
      <c r="J128" s="70"/>
      <c r="K128" s="71"/>
      <c r="L128" s="72"/>
      <c r="M128" s="72"/>
      <c r="N128" s="72"/>
    </row>
    <row r="129" spans="1:14" ht="18" customHeight="1" x14ac:dyDescent="0.25">
      <c r="A129" s="380"/>
      <c r="B129" s="81" t="str">
        <f>B11</f>
        <v>Emballages papier</v>
      </c>
      <c r="C129" s="64">
        <f>T11</f>
        <v>1.0017861226872215E-2</v>
      </c>
      <c r="D129" s="64">
        <f>V11</f>
        <v>1.3607702734672765E-2</v>
      </c>
      <c r="E129" s="215">
        <f>X11</f>
        <v>6.4280197190716643E-3</v>
      </c>
      <c r="F129" s="39"/>
      <c r="J129" s="80"/>
      <c r="K129" s="73"/>
      <c r="L129" s="74"/>
      <c r="M129" s="74"/>
      <c r="N129" s="74"/>
    </row>
    <row r="130" spans="1:14" ht="18" customHeight="1" x14ac:dyDescent="0.25">
      <c r="A130" s="381"/>
      <c r="B130" s="82" t="str">
        <f>B15</f>
        <v xml:space="preserve">Autres papiers </v>
      </c>
      <c r="C130" s="65">
        <f>T15</f>
        <v>1.9293854092626999E-2</v>
      </c>
      <c r="D130" s="65">
        <f>V15</f>
        <v>2.0217525535867857E-2</v>
      </c>
      <c r="E130" s="216">
        <f>X15</f>
        <v>1.8370182649386141E-2</v>
      </c>
      <c r="F130" s="39"/>
      <c r="J130" s="80"/>
      <c r="K130" s="73"/>
      <c r="L130" s="74"/>
      <c r="M130" s="74"/>
      <c r="N130" s="74"/>
    </row>
    <row r="131" spans="1:14" ht="18" customHeight="1" x14ac:dyDescent="0.25">
      <c r="A131" s="379" t="s">
        <v>37</v>
      </c>
      <c r="B131" s="144" t="s">
        <v>38</v>
      </c>
      <c r="C131" s="145">
        <f>T16</f>
        <v>3.1139777519392356E-2</v>
      </c>
      <c r="D131" s="145">
        <f>V16</f>
        <v>2.2590146085512797E-2</v>
      </c>
      <c r="E131" s="213">
        <f>X16</f>
        <v>3.9689408953271915E-2</v>
      </c>
      <c r="F131" s="39"/>
      <c r="J131" s="80"/>
      <c r="K131" s="73"/>
      <c r="L131" s="74"/>
      <c r="M131" s="74"/>
      <c r="N131" s="74"/>
    </row>
    <row r="132" spans="1:14" ht="18" customHeight="1" x14ac:dyDescent="0.25">
      <c r="A132" s="380"/>
      <c r="B132" s="207" t="s">
        <v>39</v>
      </c>
      <c r="C132" s="61">
        <f>T17</f>
        <v>3.9596633975355837E-2</v>
      </c>
      <c r="D132" s="61">
        <f>V17</f>
        <v>2.9285890870817368E-2</v>
      </c>
      <c r="E132" s="214">
        <f>X17</f>
        <v>4.9907377079894316E-2</v>
      </c>
      <c r="F132" s="39"/>
      <c r="J132" s="80"/>
      <c r="K132" s="75"/>
      <c r="L132" s="74"/>
      <c r="M132" s="74"/>
      <c r="N132" s="74"/>
    </row>
    <row r="133" spans="1:14" ht="18" customHeight="1" x14ac:dyDescent="0.25">
      <c r="A133" s="381"/>
      <c r="B133" s="144" t="s">
        <v>40</v>
      </c>
      <c r="C133" s="145">
        <f>T18</f>
        <v>1.2733449289508064E-2</v>
      </c>
      <c r="D133" s="145">
        <f>V18</f>
        <v>1.3600903823694485E-2</v>
      </c>
      <c r="E133" s="213">
        <f>X18</f>
        <v>1.1865994755321647E-2</v>
      </c>
      <c r="F133" s="39"/>
      <c r="J133" s="80"/>
      <c r="K133" s="75"/>
      <c r="L133" s="74"/>
      <c r="M133" s="74"/>
      <c r="N133" s="74"/>
    </row>
    <row r="134" spans="1:14" ht="18" customHeight="1" x14ac:dyDescent="0.25">
      <c r="A134" s="388" t="s">
        <v>41</v>
      </c>
      <c r="B134" s="207" t="s">
        <v>42</v>
      </c>
      <c r="C134" s="146">
        <f>T19</f>
        <v>8.9721833117471575E-3</v>
      </c>
      <c r="D134" s="146">
        <f>V19</f>
        <v>8.0785069711825017E-3</v>
      </c>
      <c r="E134" s="217">
        <f>X19</f>
        <v>9.8658596523118116E-3</v>
      </c>
      <c r="F134" s="39"/>
      <c r="J134" s="80"/>
      <c r="K134" s="73"/>
      <c r="L134" s="74"/>
      <c r="M134" s="74"/>
      <c r="N134" s="74"/>
    </row>
    <row r="135" spans="1:14" ht="18" customHeight="1" x14ac:dyDescent="0.25">
      <c r="A135" s="388"/>
      <c r="B135" s="144" t="s">
        <v>44</v>
      </c>
      <c r="C135" s="145">
        <f>T21</f>
        <v>0</v>
      </c>
      <c r="D135" s="145">
        <f>V21</f>
        <v>0</v>
      </c>
      <c r="E135" s="213">
        <f>X21</f>
        <v>0</v>
      </c>
      <c r="F135" s="39"/>
      <c r="J135" s="80"/>
      <c r="K135" s="73"/>
      <c r="L135" s="74"/>
      <c r="M135" s="74"/>
      <c r="N135" s="74"/>
    </row>
    <row r="136" spans="1:14" ht="18" customHeight="1" x14ac:dyDescent="0.25">
      <c r="A136" s="388" t="s">
        <v>50</v>
      </c>
      <c r="B136" s="207" t="s">
        <v>52</v>
      </c>
      <c r="C136" s="61">
        <f>T27</f>
        <v>2.7188531038792148E-2</v>
      </c>
      <c r="D136" s="61">
        <f>V27</f>
        <v>2.4771578831909839E-2</v>
      </c>
      <c r="E136" s="214">
        <f>X27</f>
        <v>2.9605483245674455E-2</v>
      </c>
      <c r="F136" s="39"/>
      <c r="J136" s="80"/>
      <c r="K136" s="73"/>
      <c r="L136" s="74"/>
      <c r="M136" s="74"/>
      <c r="N136" s="74"/>
    </row>
    <row r="137" spans="1:14" ht="18" customHeight="1" x14ac:dyDescent="0.25">
      <c r="A137" s="388"/>
      <c r="B137" s="144" t="s">
        <v>53</v>
      </c>
      <c r="C137" s="145">
        <f>T28</f>
        <v>6.5672578752590336E-3</v>
      </c>
      <c r="D137" s="145">
        <f>V28</f>
        <v>8.6913988864089249E-3</v>
      </c>
      <c r="E137" s="213">
        <f>X28</f>
        <v>4.4431168641091414E-3</v>
      </c>
      <c r="F137" s="39"/>
      <c r="J137" s="80"/>
      <c r="K137" s="73"/>
      <c r="L137" s="74"/>
      <c r="M137" s="74"/>
      <c r="N137" s="74"/>
    </row>
    <row r="138" spans="1:14" ht="18" customHeight="1" x14ac:dyDescent="0.25">
      <c r="A138" s="388" t="s">
        <v>60</v>
      </c>
      <c r="B138" s="207" t="s">
        <v>61</v>
      </c>
      <c r="C138" s="146">
        <f>T34</f>
        <v>2.1027927498069695E-2</v>
      </c>
      <c r="D138" s="146">
        <f>V34</f>
        <v>1.2298098201643272E-2</v>
      </c>
      <c r="E138" s="217">
        <f>X34</f>
        <v>2.9757756794496125E-2</v>
      </c>
      <c r="F138" s="147"/>
      <c r="J138" s="70"/>
      <c r="K138" s="73"/>
      <c r="L138" s="74"/>
      <c r="M138" s="74"/>
      <c r="N138" s="74"/>
    </row>
    <row r="139" spans="1:14" ht="18" customHeight="1" x14ac:dyDescent="0.25">
      <c r="A139" s="388"/>
      <c r="B139" s="144" t="s">
        <v>62</v>
      </c>
      <c r="C139" s="145">
        <f>T35</f>
        <v>3.0655415731007211E-3</v>
      </c>
      <c r="D139" s="145">
        <f>V35</f>
        <v>3.2262005213532399E-3</v>
      </c>
      <c r="E139" s="213">
        <f>X35</f>
        <v>2.9048826248482033E-3</v>
      </c>
      <c r="F139" s="39"/>
      <c r="J139" s="80"/>
      <c r="K139" s="73"/>
      <c r="L139" s="74"/>
      <c r="M139" s="74"/>
      <c r="N139" s="74"/>
    </row>
    <row r="140" spans="1:14" ht="18" customHeight="1" x14ac:dyDescent="0.25">
      <c r="A140" s="388"/>
      <c r="B140" s="207" t="s">
        <v>63</v>
      </c>
      <c r="C140" s="146">
        <f>T36</f>
        <v>0</v>
      </c>
      <c r="D140" s="146">
        <f>V36</f>
        <v>0</v>
      </c>
      <c r="E140" s="217">
        <f>X36</f>
        <v>0</v>
      </c>
      <c r="F140" s="39"/>
      <c r="J140" s="80"/>
      <c r="K140" s="73"/>
      <c r="L140" s="74"/>
      <c r="M140" s="74"/>
      <c r="N140" s="74"/>
    </row>
    <row r="141" spans="1:14" ht="18" customHeight="1" x14ac:dyDescent="0.25">
      <c r="A141" s="388"/>
      <c r="B141" s="144" t="s">
        <v>64</v>
      </c>
      <c r="C141" s="145">
        <f>T37</f>
        <v>7.0690120367507649E-4</v>
      </c>
      <c r="D141" s="145">
        <f>V37</f>
        <v>0</v>
      </c>
      <c r="E141" s="213">
        <f>X37</f>
        <v>1.413802407350153E-3</v>
      </c>
      <c r="F141" s="39"/>
      <c r="J141" s="80"/>
      <c r="K141" s="73"/>
      <c r="L141" s="74"/>
      <c r="M141" s="74"/>
      <c r="N141" s="74"/>
    </row>
    <row r="142" spans="1:14" ht="30.75" customHeight="1" x14ac:dyDescent="0.25">
      <c r="A142" s="218" t="s">
        <v>57</v>
      </c>
      <c r="B142" s="207" t="s">
        <v>58</v>
      </c>
      <c r="C142" s="61">
        <f>T32</f>
        <v>6.6293192458846587E-2</v>
      </c>
      <c r="D142" s="62">
        <f>V32</f>
        <v>7.8415081976277584E-2</v>
      </c>
      <c r="E142" s="219">
        <f>X32</f>
        <v>5.4171302941415582E-2</v>
      </c>
      <c r="F142" s="39"/>
      <c r="J142" s="80"/>
      <c r="K142" s="73"/>
      <c r="L142" s="74"/>
      <c r="M142" s="74"/>
      <c r="N142" s="74"/>
    </row>
    <row r="143" spans="1:14" ht="30" customHeight="1" thickBot="1" x14ac:dyDescent="0.3">
      <c r="A143" s="371" t="s">
        <v>102</v>
      </c>
      <c r="B143" s="372"/>
      <c r="C143" s="142">
        <f>SUM(C126:C142)</f>
        <v>0.32589615579003473</v>
      </c>
      <c r="D143" s="143">
        <f>SUM(D126:D142)</f>
        <v>0.32065636564817934</v>
      </c>
      <c r="E143" s="220">
        <f>SUM(E126:E142)</f>
        <v>0.33113594593189027</v>
      </c>
      <c r="F143" s="39"/>
      <c r="J143" s="80"/>
      <c r="K143" s="73"/>
      <c r="L143" s="74"/>
      <c r="M143" s="74"/>
      <c r="N143" s="74"/>
    </row>
    <row r="144" spans="1:14" ht="18" customHeight="1" x14ac:dyDescent="0.25">
      <c r="A144" s="218" t="s">
        <v>45</v>
      </c>
      <c r="B144" s="178" t="s">
        <v>46</v>
      </c>
      <c r="C144" s="179">
        <f>T23</f>
        <v>3.1125355649822516E-2</v>
      </c>
      <c r="D144" s="179">
        <f>V23</f>
        <v>3.2614428434646903E-2</v>
      </c>
      <c r="E144" s="221">
        <f>X23</f>
        <v>2.9636282864998129E-2</v>
      </c>
      <c r="F144" s="39"/>
      <c r="J144" s="80"/>
      <c r="K144" s="73"/>
      <c r="L144" s="74"/>
      <c r="M144" s="74"/>
      <c r="N144" s="74"/>
    </row>
    <row r="145" spans="1:14" ht="18" customHeight="1" x14ac:dyDescent="0.25">
      <c r="A145" s="389" t="s">
        <v>69</v>
      </c>
      <c r="B145" s="182" t="s">
        <v>121</v>
      </c>
      <c r="C145" s="183">
        <f>T41</f>
        <v>4.6362604878559862E-3</v>
      </c>
      <c r="D145" s="183">
        <f>V41</f>
        <v>2.9891593982549975E-3</v>
      </c>
      <c r="E145" s="222">
        <f>X41</f>
        <v>6.2833615774569758E-3</v>
      </c>
      <c r="F145" s="39"/>
      <c r="J145" s="80"/>
      <c r="K145" s="73"/>
      <c r="L145" s="74"/>
      <c r="M145" s="74"/>
      <c r="N145" s="74"/>
    </row>
    <row r="146" spans="1:14" ht="28.5" customHeight="1" x14ac:dyDescent="0.25">
      <c r="A146" s="389"/>
      <c r="B146" s="181" t="s">
        <v>70</v>
      </c>
      <c r="C146" s="108">
        <f t="shared" ref="C146:C154" si="69">T42</f>
        <v>1.0730345772811444E-4</v>
      </c>
      <c r="D146" s="108">
        <f t="shared" ref="D146:D154" si="70">V42</f>
        <v>0</v>
      </c>
      <c r="E146" s="223">
        <f t="shared" ref="E146:E154" si="71">X42</f>
        <v>2.1460691545622889E-4</v>
      </c>
      <c r="F146" s="39"/>
      <c r="J146" s="80"/>
      <c r="K146" s="80"/>
      <c r="L146" s="76"/>
      <c r="M146" s="76"/>
      <c r="N146" s="76"/>
    </row>
    <row r="147" spans="1:14" ht="18" customHeight="1" x14ac:dyDescent="0.25">
      <c r="A147" s="389"/>
      <c r="B147" s="182" t="s">
        <v>71</v>
      </c>
      <c r="C147" s="183">
        <f t="shared" si="69"/>
        <v>3.0176486585877672E-3</v>
      </c>
      <c r="D147" s="183">
        <f t="shared" si="70"/>
        <v>2.8798136843109145E-3</v>
      </c>
      <c r="E147" s="222">
        <f t="shared" si="71"/>
        <v>3.1554836328646198E-3</v>
      </c>
      <c r="F147" s="39"/>
      <c r="J147" s="70"/>
      <c r="K147" s="73"/>
      <c r="L147" s="74"/>
      <c r="M147" s="74"/>
      <c r="N147" s="74"/>
    </row>
    <row r="148" spans="1:14" ht="18" customHeight="1" x14ac:dyDescent="0.25">
      <c r="A148" s="389"/>
      <c r="B148" s="181" t="s">
        <v>72</v>
      </c>
      <c r="C148" s="108">
        <f t="shared" si="69"/>
        <v>0</v>
      </c>
      <c r="D148" s="108">
        <f t="shared" si="70"/>
        <v>0</v>
      </c>
      <c r="E148" s="223">
        <f t="shared" si="71"/>
        <v>0</v>
      </c>
      <c r="F148" s="39"/>
      <c r="J148" s="70"/>
      <c r="K148" s="73"/>
      <c r="L148" s="74"/>
      <c r="M148" s="74"/>
      <c r="N148" s="74"/>
    </row>
    <row r="149" spans="1:14" ht="18" customHeight="1" x14ac:dyDescent="0.25">
      <c r="A149" s="389"/>
      <c r="B149" s="182" t="s">
        <v>122</v>
      </c>
      <c r="C149" s="183">
        <f t="shared" si="69"/>
        <v>9.9339042429176551E-5</v>
      </c>
      <c r="D149" s="183">
        <f t="shared" si="70"/>
        <v>1.986780848583531E-4</v>
      </c>
      <c r="E149" s="222">
        <f t="shared" si="71"/>
        <v>0</v>
      </c>
      <c r="F149" s="39"/>
      <c r="J149" s="80"/>
      <c r="K149" s="73"/>
      <c r="L149" s="74"/>
      <c r="M149" s="74"/>
      <c r="N149" s="74"/>
    </row>
    <row r="150" spans="1:14" ht="18" customHeight="1" x14ac:dyDescent="0.25">
      <c r="A150" s="224"/>
      <c r="B150" s="181" t="s">
        <v>123</v>
      </c>
      <c r="C150" s="108">
        <f t="shared" si="69"/>
        <v>0</v>
      </c>
      <c r="D150" s="108">
        <f t="shared" si="70"/>
        <v>0</v>
      </c>
      <c r="E150" s="223">
        <f t="shared" si="71"/>
        <v>0</v>
      </c>
      <c r="F150" s="39"/>
      <c r="J150" s="80"/>
      <c r="K150" s="73"/>
      <c r="L150" s="74"/>
      <c r="M150" s="74"/>
      <c r="N150" s="74"/>
    </row>
    <row r="151" spans="1:14" ht="18" customHeight="1" x14ac:dyDescent="0.25">
      <c r="A151" s="224"/>
      <c r="B151" s="182" t="s">
        <v>124</v>
      </c>
      <c r="C151" s="183">
        <f t="shared" si="69"/>
        <v>0</v>
      </c>
      <c r="D151" s="183">
        <f t="shared" si="70"/>
        <v>0</v>
      </c>
      <c r="E151" s="222">
        <f t="shared" si="71"/>
        <v>0</v>
      </c>
      <c r="F151" s="39"/>
      <c r="J151" s="80"/>
      <c r="K151" s="73"/>
      <c r="L151" s="74"/>
      <c r="M151" s="74"/>
      <c r="N151" s="74"/>
    </row>
    <row r="152" spans="1:14" ht="18" customHeight="1" x14ac:dyDescent="0.25">
      <c r="A152" s="224"/>
      <c r="B152" s="181" t="s">
        <v>125</v>
      </c>
      <c r="C152" s="108">
        <f t="shared" si="69"/>
        <v>0</v>
      </c>
      <c r="D152" s="108">
        <f t="shared" si="70"/>
        <v>0</v>
      </c>
      <c r="E152" s="223">
        <f t="shared" si="71"/>
        <v>0</v>
      </c>
      <c r="F152" s="39"/>
      <c r="J152" s="80"/>
      <c r="K152" s="73"/>
      <c r="L152" s="74"/>
      <c r="M152" s="74"/>
      <c r="N152" s="74"/>
    </row>
    <row r="153" spans="1:14" ht="18" customHeight="1" x14ac:dyDescent="0.25">
      <c r="A153" s="224"/>
      <c r="B153" s="182" t="s">
        <v>126</v>
      </c>
      <c r="C153" s="183">
        <f t="shared" si="69"/>
        <v>4.4137537290045922E-3</v>
      </c>
      <c r="D153" s="183">
        <f t="shared" si="70"/>
        <v>7.2564697774134268E-3</v>
      </c>
      <c r="E153" s="222">
        <f t="shared" si="71"/>
        <v>1.5710376805957585E-3</v>
      </c>
      <c r="F153" s="39"/>
      <c r="J153" s="80"/>
      <c r="K153" s="73"/>
      <c r="L153" s="74"/>
      <c r="M153" s="74"/>
      <c r="N153" s="74"/>
    </row>
    <row r="154" spans="1:14" ht="18" customHeight="1" x14ac:dyDescent="0.25">
      <c r="A154" s="224"/>
      <c r="B154" s="181" t="s">
        <v>73</v>
      </c>
      <c r="C154" s="108">
        <f t="shared" si="69"/>
        <v>6.6499462380068897E-4</v>
      </c>
      <c r="D154" s="108">
        <f t="shared" si="70"/>
        <v>1.3299892476013779E-3</v>
      </c>
      <c r="E154" s="223">
        <f t="shared" si="71"/>
        <v>0</v>
      </c>
      <c r="F154" s="39"/>
      <c r="J154" s="80"/>
      <c r="K154" s="73"/>
      <c r="L154" s="74"/>
      <c r="M154" s="74"/>
      <c r="N154" s="74"/>
    </row>
    <row r="155" spans="1:14" ht="32.25" customHeight="1" thickBot="1" x14ac:dyDescent="0.3">
      <c r="A155" s="373" t="s">
        <v>101</v>
      </c>
      <c r="B155" s="374"/>
      <c r="C155" s="180">
        <f>SUM(C144:C154)</f>
        <v>4.4064655649228839E-2</v>
      </c>
      <c r="D155" s="180">
        <f>SUM(D144:D154)</f>
        <v>4.7268538627085972E-2</v>
      </c>
      <c r="E155" s="225">
        <f>SUM(E144:E154)</f>
        <v>4.0860772671371712E-2</v>
      </c>
      <c r="F155" s="39"/>
      <c r="J155" s="80"/>
      <c r="K155" s="73"/>
      <c r="L155" s="74"/>
      <c r="M155" s="74"/>
      <c r="N155" s="74"/>
    </row>
    <row r="156" spans="1:14" ht="18" customHeight="1" thickBot="1" x14ac:dyDescent="0.3">
      <c r="A156" s="375" t="s">
        <v>25</v>
      </c>
      <c r="B156" s="376"/>
      <c r="C156" s="226">
        <f>C143+C155</f>
        <v>0.36996081143926357</v>
      </c>
      <c r="D156" s="226">
        <f>D143+D155</f>
        <v>0.36792490427526531</v>
      </c>
      <c r="E156" s="227">
        <f>E143+E155</f>
        <v>0.371996718603262</v>
      </c>
      <c r="J156" s="80"/>
      <c r="K156" s="73"/>
      <c r="L156" s="74"/>
      <c r="M156" s="74"/>
      <c r="N156" s="74"/>
    </row>
    <row r="157" spans="1:14" x14ac:dyDescent="0.25">
      <c r="J157" s="80"/>
      <c r="K157" s="73"/>
      <c r="L157" s="74"/>
      <c r="M157" s="74"/>
      <c r="N157" s="74"/>
    </row>
    <row r="158" spans="1:14" ht="38.25" customHeight="1" x14ac:dyDescent="0.25">
      <c r="B158" t="s">
        <v>96</v>
      </c>
      <c r="C158" s="39">
        <f>1-C156</f>
        <v>0.63003918856073637</v>
      </c>
      <c r="J158" s="80"/>
      <c r="K158" s="80"/>
      <c r="L158" s="76"/>
      <c r="M158" s="76"/>
      <c r="N158" s="76"/>
    </row>
    <row r="159" spans="1:14" x14ac:dyDescent="0.25">
      <c r="C159" s="39"/>
      <c r="J159" s="77"/>
      <c r="K159" s="78"/>
      <c r="L159" s="76"/>
      <c r="M159" s="76"/>
      <c r="N159" s="76"/>
    </row>
    <row r="160" spans="1:14" x14ac:dyDescent="0.25">
      <c r="B160" t="s">
        <v>131</v>
      </c>
      <c r="C160" s="39">
        <f>C143-C142</f>
        <v>0.25960296333118815</v>
      </c>
      <c r="J160" s="79"/>
      <c r="K160" s="79"/>
      <c r="L160" s="79"/>
      <c r="M160" s="79"/>
      <c r="N160" s="79"/>
    </row>
    <row r="161" spans="1:14" x14ac:dyDescent="0.25">
      <c r="B161" t="s">
        <v>57</v>
      </c>
      <c r="C161" s="39">
        <f>C142</f>
        <v>6.6293192458846587E-2</v>
      </c>
      <c r="J161" s="79"/>
      <c r="K161" s="79"/>
      <c r="L161" s="79"/>
      <c r="M161" s="79"/>
      <c r="N161" s="79"/>
    </row>
    <row r="162" spans="1:14" x14ac:dyDescent="0.25">
      <c r="B162" t="s">
        <v>45</v>
      </c>
      <c r="C162" s="39">
        <f>C144</f>
        <v>3.1125355649822516E-2</v>
      </c>
    </row>
    <row r="163" spans="1:14" x14ac:dyDescent="0.25">
      <c r="B163" t="s">
        <v>69</v>
      </c>
      <c r="C163" s="39">
        <f>SUM(C145:C154)</f>
        <v>1.2939299999406325E-2</v>
      </c>
    </row>
    <row r="168" spans="1:14" x14ac:dyDescent="0.25">
      <c r="A168" s="184" t="str">
        <f>A5</f>
        <v>Catégories</v>
      </c>
      <c r="B168" s="148" t="str">
        <f>B5</f>
        <v>Sous-catégories</v>
      </c>
      <c r="C168" s="186" t="s">
        <v>85</v>
      </c>
      <c r="D168" s="149" t="s">
        <v>92</v>
      </c>
      <c r="E168" s="149" t="s">
        <v>91</v>
      </c>
      <c r="G168" s="248" t="s">
        <v>85</v>
      </c>
      <c r="H168" s="248" t="s">
        <v>92</v>
      </c>
      <c r="I168" s="248" t="s">
        <v>91</v>
      </c>
      <c r="J168" s="27"/>
    </row>
    <row r="169" spans="1:14" ht="15" customHeight="1" x14ac:dyDescent="0.25">
      <c r="A169" s="390" t="str">
        <f t="shared" ref="A169" si="72">A6</f>
        <v>Déchets putrescibles</v>
      </c>
      <c r="B169" s="182" t="s">
        <v>119</v>
      </c>
      <c r="C169" s="192">
        <f>T6</f>
        <v>9.0128390896539901E-2</v>
      </c>
      <c r="D169" s="193">
        <f>V6</f>
        <v>0.12020013793703385</v>
      </c>
      <c r="E169" s="193">
        <f>X6</f>
        <v>6.0056643856045977E-2</v>
      </c>
      <c r="G169" s="249">
        <f>SUM(C169:C170)</f>
        <v>0.2107782093435113</v>
      </c>
      <c r="H169" s="249">
        <f t="shared" ref="H169:I169" si="73">SUM(D169:D170)</f>
        <v>0.22340244813755245</v>
      </c>
      <c r="I169" s="249">
        <f t="shared" si="73"/>
        <v>0.19815397054947018</v>
      </c>
      <c r="J169" s="249">
        <f>I169-H169</f>
        <v>-2.5248477588082269E-2</v>
      </c>
    </row>
    <row r="170" spans="1:14" ht="17.25" customHeight="1" x14ac:dyDescent="0.25">
      <c r="A170" s="391"/>
      <c r="B170" s="181" t="s">
        <v>27</v>
      </c>
      <c r="C170" s="187">
        <f t="shared" ref="C170:C173" si="74">T7</f>
        <v>0.1206498184469714</v>
      </c>
      <c r="D170" s="63">
        <f t="shared" ref="D170:D173" si="75">V7</f>
        <v>0.10320231020051859</v>
      </c>
      <c r="E170" s="63">
        <f t="shared" ref="E170:E173" si="76">X7</f>
        <v>0.1380973266934242</v>
      </c>
    </row>
    <row r="171" spans="1:14" x14ac:dyDescent="0.25">
      <c r="A171" s="391"/>
      <c r="B171" s="182" t="s">
        <v>28</v>
      </c>
      <c r="C171" s="192">
        <f t="shared" si="74"/>
        <v>7.4497499788617834E-4</v>
      </c>
      <c r="D171" s="193">
        <f t="shared" si="75"/>
        <v>1.4899499957723567E-3</v>
      </c>
      <c r="E171" s="193">
        <f t="shared" si="76"/>
        <v>0</v>
      </c>
    </row>
    <row r="172" spans="1:14" x14ac:dyDescent="0.25">
      <c r="A172" s="391"/>
      <c r="B172" s="181" t="s">
        <v>29</v>
      </c>
      <c r="C172" s="187">
        <f t="shared" si="74"/>
        <v>2.4728293632471591E-3</v>
      </c>
      <c r="D172" s="63">
        <f t="shared" si="75"/>
        <v>2.7205399233822839E-3</v>
      </c>
      <c r="E172" s="63">
        <f t="shared" si="76"/>
        <v>2.2251188031120342E-3</v>
      </c>
    </row>
    <row r="173" spans="1:14" x14ac:dyDescent="0.25">
      <c r="A173" s="392"/>
      <c r="B173" s="182" t="s">
        <v>30</v>
      </c>
      <c r="C173" s="192">
        <f t="shared" si="74"/>
        <v>5.639913796147034E-4</v>
      </c>
      <c r="D173" s="193">
        <f t="shared" si="75"/>
        <v>1.066996846564488E-3</v>
      </c>
      <c r="E173" s="193">
        <f t="shared" si="76"/>
        <v>6.0985912664918649E-5</v>
      </c>
    </row>
    <row r="174" spans="1:14" x14ac:dyDescent="0.25">
      <c r="A174" s="393" t="str">
        <f>A19</f>
        <v>Complexes/ Composites</v>
      </c>
      <c r="B174" s="33" t="str">
        <f>B20</f>
        <v>Autres emballages composites</v>
      </c>
      <c r="C174" s="188">
        <f>T20</f>
        <v>1.9238963772601713E-2</v>
      </c>
      <c r="D174" s="65">
        <f>V20</f>
        <v>9.7369127967675065E-3</v>
      </c>
      <c r="E174" s="65">
        <f>X20</f>
        <v>2.874101474843592E-2</v>
      </c>
    </row>
    <row r="175" spans="1:14" x14ac:dyDescent="0.25">
      <c r="A175" s="394"/>
      <c r="B175" s="182" t="s">
        <v>130</v>
      </c>
      <c r="C175" s="189">
        <f>T22</f>
        <v>1.9340265479930868E-4</v>
      </c>
      <c r="D175" s="64">
        <f>V22</f>
        <v>3.8680530959861735E-4</v>
      </c>
      <c r="E175" s="64">
        <f>X22</f>
        <v>0</v>
      </c>
    </row>
    <row r="176" spans="1:14" x14ac:dyDescent="0.25">
      <c r="A176" s="385" t="str">
        <f>A24</f>
        <v>Textiles sanitaires</v>
      </c>
      <c r="B176" s="33" t="str">
        <f>B24</f>
        <v>Textiles sanitaires fraction hygiénique</v>
      </c>
      <c r="C176" s="188">
        <f>T24</f>
        <v>6.370948586909822E-2</v>
      </c>
      <c r="D176" s="65">
        <f>V24</f>
        <v>6.7595738660268606E-2</v>
      </c>
      <c r="E176" s="65">
        <f>X24</f>
        <v>5.982323307792782E-2</v>
      </c>
    </row>
    <row r="177" spans="1:6" x14ac:dyDescent="0.25">
      <c r="A177" s="385"/>
      <c r="B177" s="191" t="str">
        <f>B25</f>
        <v>Textiles sanitaires fraction papiers souillés</v>
      </c>
      <c r="C177" s="189">
        <f>T25</f>
        <v>5.5241499674745981E-2</v>
      </c>
      <c r="D177" s="64">
        <f>V25</f>
        <v>5.1877238650835843E-2</v>
      </c>
      <c r="E177" s="64">
        <f>X25</f>
        <v>5.860576069865614E-2</v>
      </c>
    </row>
    <row r="178" spans="1:6" x14ac:dyDescent="0.25">
      <c r="A178" s="385" t="str">
        <f>A26</f>
        <v>Plastiques</v>
      </c>
      <c r="B178" s="33" t="s">
        <v>51</v>
      </c>
      <c r="C178" s="188">
        <f>T26</f>
        <v>8.5624706028637185E-2</v>
      </c>
      <c r="D178" s="65">
        <f>V26</f>
        <v>8.5547328676306239E-2</v>
      </c>
      <c r="E178" s="65">
        <f>X26</f>
        <v>8.5702083380968158E-2</v>
      </c>
    </row>
    <row r="179" spans="1:6" x14ac:dyDescent="0.25">
      <c r="A179" s="385"/>
      <c r="B179" s="191" t="str">
        <f>B29</f>
        <v>Autres emballages plastiques</v>
      </c>
      <c r="C179" s="189">
        <f>T29</f>
        <v>3.6656772058593599E-2</v>
      </c>
      <c r="D179" s="64">
        <f>V29</f>
        <v>3.475949936821876E-2</v>
      </c>
      <c r="E179" s="64">
        <f>X29</f>
        <v>3.8554044748968445E-2</v>
      </c>
    </row>
    <row r="180" spans="1:6" x14ac:dyDescent="0.25">
      <c r="A180" s="385"/>
      <c r="B180" s="33" t="str">
        <f>B30</f>
        <v>Autres plastiques</v>
      </c>
      <c r="C180" s="188">
        <f>T30</f>
        <v>4.7936709023854877E-2</v>
      </c>
      <c r="D180" s="65">
        <f>V30</f>
        <v>3.2440432225816648E-2</v>
      </c>
      <c r="E180" s="65">
        <f>X30</f>
        <v>6.3432985821893106E-2</v>
      </c>
    </row>
    <row r="181" spans="1:6" x14ac:dyDescent="0.25">
      <c r="A181" s="185" t="str">
        <f>A31</f>
        <v>Combustibles NC</v>
      </c>
      <c r="B181" s="33" t="s">
        <v>127</v>
      </c>
      <c r="C181" s="188">
        <f>T31</f>
        <v>2.4321182455023953E-2</v>
      </c>
      <c r="D181" s="65">
        <f>V31</f>
        <v>2.397650738204881E-2</v>
      </c>
      <c r="E181" s="65">
        <f>X31</f>
        <v>2.4665857527999099E-2</v>
      </c>
    </row>
    <row r="182" spans="1:6" x14ac:dyDescent="0.25">
      <c r="A182" s="194" t="s">
        <v>57</v>
      </c>
      <c r="B182" s="191" t="s">
        <v>128</v>
      </c>
      <c r="C182" s="189">
        <f>T33</f>
        <v>8.0967983147740234E-3</v>
      </c>
      <c r="D182" s="64">
        <f>V33</f>
        <v>8.0973210933002141E-3</v>
      </c>
      <c r="E182" s="64">
        <f>X33</f>
        <v>8.0962755362478309E-3</v>
      </c>
    </row>
    <row r="183" spans="1:6" x14ac:dyDescent="0.25">
      <c r="A183" s="385" t="str">
        <f>A34</f>
        <v>Métaux</v>
      </c>
      <c r="B183" s="33" t="str">
        <f>B38</f>
        <v>Autres métaux ferreux</v>
      </c>
      <c r="C183" s="188">
        <f>T38</f>
        <v>2.6299719873171408E-3</v>
      </c>
      <c r="D183" s="65">
        <f>V38</f>
        <v>3.0092621626373614E-3</v>
      </c>
      <c r="E183" s="65">
        <f>X38</f>
        <v>2.2506818119969203E-3</v>
      </c>
    </row>
    <row r="184" spans="1:6" x14ac:dyDescent="0.25">
      <c r="A184" s="385"/>
      <c r="B184" s="191" t="str">
        <f>B39</f>
        <v xml:space="preserve">Autres métaux </v>
      </c>
      <c r="C184" s="188">
        <f>T39</f>
        <v>5.4909435866445783E-3</v>
      </c>
      <c r="D184" s="64">
        <f>V39</f>
        <v>7.036010171315602E-3</v>
      </c>
      <c r="E184" s="64">
        <f>X39</f>
        <v>3.9458770019735554E-3</v>
      </c>
    </row>
    <row r="185" spans="1:6" x14ac:dyDescent="0.25">
      <c r="A185" s="185" t="s">
        <v>129</v>
      </c>
      <c r="B185" s="33" t="s">
        <v>129</v>
      </c>
      <c r="C185" s="188">
        <f>T40</f>
        <v>1.4088906187185198E-2</v>
      </c>
      <c r="D185" s="65">
        <f>V40</f>
        <v>2.5016145754873022E-2</v>
      </c>
      <c r="E185" s="65">
        <f>X40</f>
        <v>3.1616666194973718E-3</v>
      </c>
    </row>
    <row r="186" spans="1:6" x14ac:dyDescent="0.25">
      <c r="A186" s="185" t="s">
        <v>74</v>
      </c>
      <c r="B186" s="191"/>
      <c r="C186" s="189">
        <f>T51</f>
        <v>5.2249841863201293E-2</v>
      </c>
      <c r="D186" s="64">
        <f>V51</f>
        <v>5.3915958569475939E-2</v>
      </c>
      <c r="E186" s="64">
        <f>X51</f>
        <v>5.0583725156926655E-2</v>
      </c>
    </row>
    <row r="187" spans="1:6" x14ac:dyDescent="0.25">
      <c r="A187" s="184"/>
      <c r="B187" s="33"/>
      <c r="C187" s="190">
        <f>SUM(C169:C186)</f>
        <v>0.63003918856073637</v>
      </c>
      <c r="D187" s="59">
        <f>SUM(D169:D186)</f>
        <v>0.63207509572473464</v>
      </c>
      <c r="E187" s="59">
        <f>SUM(E169:E186)</f>
        <v>0.62800328139673822</v>
      </c>
    </row>
    <row r="188" spans="1:6" x14ac:dyDescent="0.25">
      <c r="C188" s="39">
        <f>C187+C156</f>
        <v>1</v>
      </c>
      <c r="D188" s="39">
        <f>D187+D156</f>
        <v>1</v>
      </c>
      <c r="E188" s="39">
        <f>E187+E156</f>
        <v>1.0000000000000002</v>
      </c>
    </row>
    <row r="191" spans="1:6" ht="26.25" customHeight="1" x14ac:dyDescent="0.25">
      <c r="A191" s="196" t="s">
        <v>20</v>
      </c>
      <c r="B191" s="197" t="s">
        <v>21</v>
      </c>
      <c r="C191" s="198" t="s">
        <v>85</v>
      </c>
      <c r="D191" s="199" t="s">
        <v>97</v>
      </c>
      <c r="E191" s="199" t="s">
        <v>98</v>
      </c>
      <c r="F191" s="199" t="s">
        <v>99</v>
      </c>
    </row>
    <row r="192" spans="1:6" ht="15" customHeight="1" x14ac:dyDescent="0.25">
      <c r="A192" s="386" t="s">
        <v>26</v>
      </c>
      <c r="B192" s="181" t="str">
        <f>B169</f>
        <v>Déchets alimentaires (non consommables)</v>
      </c>
      <c r="C192" s="67">
        <f>C169</f>
        <v>9.0128390896539901E-2</v>
      </c>
      <c r="D192" s="377">
        <f>SUM(C192:C197)</f>
        <v>0.27179362984698952</v>
      </c>
      <c r="E192" s="377">
        <f>SUM(C192:C205)</f>
        <v>0.4638682506775339</v>
      </c>
      <c r="F192" s="377">
        <f>SUM(C192:C207)</f>
        <v>0.5828192362213781</v>
      </c>
    </row>
    <row r="193" spans="1:13" ht="26.25" customHeight="1" x14ac:dyDescent="0.25">
      <c r="A193" s="386"/>
      <c r="B193" s="181" t="str">
        <f t="shared" ref="B193:C196" si="77">B170</f>
        <v>Produits alimentaires non consommés</v>
      </c>
      <c r="C193" s="67">
        <f t="shared" si="77"/>
        <v>0.1206498184469714</v>
      </c>
      <c r="D193" s="377"/>
      <c r="E193" s="377"/>
      <c r="F193" s="377"/>
    </row>
    <row r="194" spans="1:13" ht="15" customHeight="1" x14ac:dyDescent="0.25">
      <c r="A194" s="386"/>
      <c r="B194" s="181" t="str">
        <f t="shared" si="77"/>
        <v>Autres putrescibles</v>
      </c>
      <c r="C194" s="67">
        <f t="shared" si="77"/>
        <v>7.4497499788617834E-4</v>
      </c>
      <c r="D194" s="377"/>
      <c r="E194" s="377"/>
      <c r="F194" s="377"/>
    </row>
    <row r="195" spans="1:13" ht="15" customHeight="1" x14ac:dyDescent="0.25">
      <c r="A195" s="386"/>
      <c r="B195" s="181" t="str">
        <f t="shared" si="77"/>
        <v>Déchets de jardins ligneux</v>
      </c>
      <c r="C195" s="67">
        <f t="shared" si="77"/>
        <v>2.4728293632471591E-3</v>
      </c>
      <c r="D195" s="377"/>
      <c r="E195" s="377"/>
      <c r="F195" s="377"/>
    </row>
    <row r="196" spans="1:13" ht="15" customHeight="1" x14ac:dyDescent="0.25">
      <c r="A196" s="386"/>
      <c r="B196" s="181" t="str">
        <f t="shared" si="77"/>
        <v>Déchets de jardins non ligneux</v>
      </c>
      <c r="C196" s="67">
        <f t="shared" si="77"/>
        <v>5.639913796147034E-4</v>
      </c>
      <c r="D196" s="377"/>
      <c r="E196" s="377"/>
      <c r="F196" s="377"/>
    </row>
    <row r="197" spans="1:13" ht="15" customHeight="1" x14ac:dyDescent="0.25">
      <c r="A197" s="200" t="s">
        <v>74</v>
      </c>
      <c r="B197" s="181"/>
      <c r="C197" s="67">
        <f>D87</f>
        <v>5.7233624762730154E-2</v>
      </c>
      <c r="D197" s="377"/>
      <c r="E197" s="377"/>
      <c r="F197" s="377"/>
    </row>
    <row r="198" spans="1:13" ht="15" customHeight="1" x14ac:dyDescent="0.25">
      <c r="A198" s="386" t="s">
        <v>31</v>
      </c>
      <c r="B198" s="181" t="s">
        <v>32</v>
      </c>
      <c r="C198" s="67">
        <f>T11</f>
        <v>1.0017861226872215E-2</v>
      </c>
      <c r="D198" s="387"/>
      <c r="E198" s="377"/>
      <c r="F198" s="377"/>
    </row>
    <row r="199" spans="1:13" ht="15" customHeight="1" x14ac:dyDescent="0.25">
      <c r="A199" s="386"/>
      <c r="B199" s="181" t="s">
        <v>33</v>
      </c>
      <c r="C199" s="67">
        <f t="shared" ref="C199:C205" si="78">T12</f>
        <v>3.5422346591602184E-2</v>
      </c>
      <c r="D199" s="387"/>
      <c r="E199" s="377"/>
      <c r="F199" s="377"/>
    </row>
    <row r="200" spans="1:13" ht="15" customHeight="1" x14ac:dyDescent="0.25">
      <c r="A200" s="386"/>
      <c r="B200" s="181" t="s">
        <v>34</v>
      </c>
      <c r="C200" s="67">
        <f t="shared" si="78"/>
        <v>1.5235107858792264E-2</v>
      </c>
      <c r="D200" s="387"/>
      <c r="E200" s="377"/>
      <c r="F200" s="377"/>
    </row>
    <row r="201" spans="1:13" ht="15" customHeight="1" x14ac:dyDescent="0.25">
      <c r="A201" s="386"/>
      <c r="B201" s="181" t="s">
        <v>35</v>
      </c>
      <c r="C201" s="67">
        <f t="shared" si="78"/>
        <v>2.863559027639442E-2</v>
      </c>
      <c r="D201" s="387"/>
      <c r="E201" s="377"/>
      <c r="F201" s="377"/>
    </row>
    <row r="202" spans="1:13" ht="15" customHeight="1" x14ac:dyDescent="0.25">
      <c r="A202" s="386"/>
      <c r="B202" s="181" t="s">
        <v>36</v>
      </c>
      <c r="C202" s="67">
        <f t="shared" si="78"/>
        <v>1.9293854092626999E-2</v>
      </c>
      <c r="D202" s="387"/>
      <c r="E202" s="377"/>
      <c r="F202" s="377"/>
    </row>
    <row r="203" spans="1:13" ht="15" customHeight="1" x14ac:dyDescent="0.25">
      <c r="A203" s="386" t="s">
        <v>37</v>
      </c>
      <c r="B203" s="181" t="s">
        <v>38</v>
      </c>
      <c r="C203" s="67">
        <f t="shared" si="78"/>
        <v>3.1139777519392356E-2</v>
      </c>
      <c r="D203" s="387"/>
      <c r="E203" s="377"/>
      <c r="F203" s="377"/>
    </row>
    <row r="204" spans="1:13" ht="15" customHeight="1" x14ac:dyDescent="0.25">
      <c r="A204" s="386"/>
      <c r="B204" s="181" t="s">
        <v>39</v>
      </c>
      <c r="C204" s="67">
        <f t="shared" si="78"/>
        <v>3.9596633975355837E-2</v>
      </c>
      <c r="D204" s="387"/>
      <c r="E204" s="377"/>
      <c r="F204" s="377"/>
    </row>
    <row r="205" spans="1:13" ht="15" customHeight="1" x14ac:dyDescent="0.25">
      <c r="A205" s="386"/>
      <c r="B205" s="181" t="s">
        <v>40</v>
      </c>
      <c r="C205" s="67">
        <f t="shared" si="78"/>
        <v>1.2733449289508064E-2</v>
      </c>
      <c r="D205" s="387"/>
      <c r="E205" s="377"/>
      <c r="F205" s="377"/>
    </row>
    <row r="206" spans="1:13" ht="15" customHeight="1" x14ac:dyDescent="0.25">
      <c r="A206" s="386" t="s">
        <v>47</v>
      </c>
      <c r="B206" s="181" t="s">
        <v>48</v>
      </c>
      <c r="C206" s="67">
        <f>T24</f>
        <v>6.370948586909822E-2</v>
      </c>
      <c r="D206" s="387"/>
      <c r="E206" s="387"/>
      <c r="F206" s="377"/>
      <c r="I206" s="66" t="s">
        <v>20</v>
      </c>
      <c r="K206" s="66" t="s">
        <v>20</v>
      </c>
      <c r="M206" s="66" t="s">
        <v>20</v>
      </c>
    </row>
    <row r="207" spans="1:13" ht="15" customHeight="1" x14ac:dyDescent="0.25">
      <c r="A207" s="386"/>
      <c r="B207" s="181" t="s">
        <v>49</v>
      </c>
      <c r="C207" s="67">
        <f>T25</f>
        <v>5.5241499674745981E-2</v>
      </c>
      <c r="D207" s="387"/>
      <c r="E207" s="387"/>
      <c r="F207" s="377"/>
    </row>
    <row r="208" spans="1:13" ht="15" customHeight="1" x14ac:dyDescent="0.25">
      <c r="A208" s="378" t="s">
        <v>25</v>
      </c>
      <c r="B208" s="378"/>
      <c r="C208" s="68">
        <f>SUM(C192:C207)</f>
        <v>0.5828192362213781</v>
      </c>
      <c r="D208" s="387"/>
      <c r="E208" s="387"/>
      <c r="F208" s="377"/>
    </row>
    <row r="215" spans="2:14" x14ac:dyDescent="0.25">
      <c r="B215" s="362"/>
      <c r="C215" s="359" t="s">
        <v>91</v>
      </c>
      <c r="D215" s="360"/>
      <c r="E215" s="360"/>
      <c r="F215" s="360"/>
      <c r="G215" s="360"/>
      <c r="H215" s="361"/>
      <c r="I215" s="360" t="s">
        <v>92</v>
      </c>
      <c r="J215" s="360"/>
      <c r="K215" s="360"/>
      <c r="L215" s="360"/>
      <c r="M215" s="360"/>
      <c r="N215" s="360"/>
    </row>
    <row r="216" spans="2:14" ht="24" x14ac:dyDescent="0.25">
      <c r="B216" s="363"/>
      <c r="C216" s="120" t="s">
        <v>78</v>
      </c>
      <c r="D216" s="121" t="s">
        <v>93</v>
      </c>
      <c r="E216" s="121" t="s">
        <v>94</v>
      </c>
      <c r="F216" s="122" t="s">
        <v>105</v>
      </c>
      <c r="G216" s="123" t="s">
        <v>113</v>
      </c>
      <c r="H216" s="130" t="s">
        <v>114</v>
      </c>
      <c r="I216" s="121" t="s">
        <v>77</v>
      </c>
      <c r="J216" s="121" t="s">
        <v>93</v>
      </c>
      <c r="K216" s="121" t="s">
        <v>94</v>
      </c>
      <c r="L216" s="122" t="s">
        <v>105</v>
      </c>
      <c r="M216" s="123" t="s">
        <v>113</v>
      </c>
      <c r="N216" s="119" t="s">
        <v>114</v>
      </c>
    </row>
    <row r="217" spans="2:14" x14ac:dyDescent="0.25">
      <c r="B217" s="51" t="s">
        <v>82</v>
      </c>
      <c r="C217" s="67">
        <f t="shared" ref="C217:E229" si="79">D91</f>
        <v>0.2004400752652471</v>
      </c>
      <c r="D217" s="67">
        <f t="shared" si="79"/>
        <v>8.5284843409244082E-2</v>
      </c>
      <c r="E217" s="67">
        <f t="shared" si="79"/>
        <v>0.34941756689539777</v>
      </c>
      <c r="F217" s="67">
        <f t="shared" ref="F217:H229" si="80">E107</f>
        <v>0.26693508667368671</v>
      </c>
      <c r="G217" s="67">
        <f t="shared" si="80"/>
        <v>0.26693508667368671</v>
      </c>
      <c r="H217" s="128">
        <f t="shared" si="80"/>
        <v>1.3317450929932309</v>
      </c>
      <c r="I217" s="126">
        <f t="shared" ref="I217:K229" si="81">I91</f>
        <v>0.2286799349032716</v>
      </c>
      <c r="J217" s="67">
        <f t="shared" si="81"/>
        <v>0.1318740483934796</v>
      </c>
      <c r="K217" s="67">
        <f t="shared" si="81"/>
        <v>0.31546780933357849</v>
      </c>
      <c r="L217" s="124">
        <f>J107</f>
        <v>0.21768025904842336</v>
      </c>
      <c r="M217" s="124">
        <f>K107</f>
        <v>0.21768025904842336</v>
      </c>
      <c r="N217" s="124">
        <f>L107</f>
        <v>0.95189925229119488</v>
      </c>
    </row>
    <row r="218" spans="2:14" x14ac:dyDescent="0.25">
      <c r="B218" s="54" t="s">
        <v>31</v>
      </c>
      <c r="C218" s="117">
        <f t="shared" si="79"/>
        <v>9.7510960613196834E-2</v>
      </c>
      <c r="D218" s="117">
        <f t="shared" si="79"/>
        <v>5.1053135147769914E-2</v>
      </c>
      <c r="E218" s="117">
        <f t="shared" si="79"/>
        <v>0.1498688981473115</v>
      </c>
      <c r="F218" s="117">
        <f t="shared" si="80"/>
        <v>9.5629282694650902E-2</v>
      </c>
      <c r="G218" s="117">
        <f t="shared" si="80"/>
        <v>9.5629282694650902E-2</v>
      </c>
      <c r="H218" s="129">
        <f t="shared" si="80"/>
        <v>0.98070290860931919</v>
      </c>
      <c r="I218" s="127">
        <f t="shared" si="81"/>
        <v>0.1196985594793793</v>
      </c>
      <c r="J218" s="117">
        <f t="shared" si="81"/>
        <v>6.8189459579307596E-2</v>
      </c>
      <c r="K218" s="117">
        <f t="shared" si="81"/>
        <v>0.14286545574431972</v>
      </c>
      <c r="L218" s="125">
        <f t="shared" ref="L218:L229" si="82">J108</f>
        <v>7.5551443790474404E-2</v>
      </c>
      <c r="M218" s="125">
        <f t="shared" ref="M218:M229" si="83">K108</f>
        <v>7.5551443790474404E-2</v>
      </c>
      <c r="N218" s="125">
        <f t="shared" ref="N218:N229" si="84">L108</f>
        <v>0.63118089406489308</v>
      </c>
    </row>
    <row r="219" spans="2:14" x14ac:dyDescent="0.25">
      <c r="B219" s="51" t="s">
        <v>37</v>
      </c>
      <c r="C219" s="67">
        <f t="shared" si="79"/>
        <v>0.10146278078848789</v>
      </c>
      <c r="D219" s="67">
        <f t="shared" si="79"/>
        <v>9.0244069423453394E-2</v>
      </c>
      <c r="E219" s="67">
        <f t="shared" si="79"/>
        <v>0.12625902044351645</v>
      </c>
      <c r="F219" s="67">
        <f t="shared" si="80"/>
        <v>3.6498018583982293E-2</v>
      </c>
      <c r="G219" s="67">
        <f t="shared" si="80"/>
        <v>3.64980185839823E-2</v>
      </c>
      <c r="H219" s="128">
        <f t="shared" si="80"/>
        <v>0.35971829571739294</v>
      </c>
      <c r="I219" s="126">
        <f t="shared" si="81"/>
        <v>6.5476940780024639E-2</v>
      </c>
      <c r="J219" s="67">
        <f t="shared" si="81"/>
        <v>4.125957924287034E-2</v>
      </c>
      <c r="K219" s="67">
        <f t="shared" si="81"/>
        <v>9.2085187450113043E-2</v>
      </c>
      <c r="L219" s="124">
        <f t="shared" si="82"/>
        <v>4.7389647371839552E-2</v>
      </c>
      <c r="M219" s="124">
        <f t="shared" si="83"/>
        <v>4.7389647371839552E-2</v>
      </c>
      <c r="N219" s="124">
        <f t="shared" si="84"/>
        <v>0.7237608661505599</v>
      </c>
    </row>
    <row r="220" spans="2:14" x14ac:dyDescent="0.25">
      <c r="B220" s="54" t="s">
        <v>83</v>
      </c>
      <c r="C220" s="117">
        <f t="shared" si="79"/>
        <v>3.8606874400747726E-2</v>
      </c>
      <c r="D220" s="117">
        <f t="shared" si="79"/>
        <v>1.2476199078628366E-2</v>
      </c>
      <c r="E220" s="117">
        <f t="shared" si="79"/>
        <v>6.1849843914138142E-2</v>
      </c>
      <c r="F220" s="117">
        <f t="shared" si="80"/>
        <v>5.3463729420700899E-2</v>
      </c>
      <c r="G220" s="117">
        <f t="shared" si="80"/>
        <v>5.3463729420700906E-2</v>
      </c>
      <c r="H220" s="129">
        <f t="shared" si="80"/>
        <v>1.384824082512762</v>
      </c>
      <c r="I220" s="127">
        <f t="shared" si="81"/>
        <v>1.8202225077548626E-2</v>
      </c>
      <c r="J220" s="117">
        <f t="shared" si="81"/>
        <v>9.0643243074044182E-3</v>
      </c>
      <c r="K220" s="117">
        <f t="shared" si="81"/>
        <v>3.1227318130169875E-2</v>
      </c>
      <c r="L220" s="125">
        <f t="shared" si="82"/>
        <v>2.3001573328738808E-2</v>
      </c>
      <c r="M220" s="125">
        <f t="shared" si="83"/>
        <v>2.3001573328738808E-2</v>
      </c>
      <c r="N220" s="125">
        <f t="shared" si="84"/>
        <v>1.2636682180746075</v>
      </c>
    </row>
    <row r="221" spans="2:14" x14ac:dyDescent="0.25">
      <c r="B221" s="51" t="s">
        <v>46</v>
      </c>
      <c r="C221" s="67">
        <f t="shared" si="79"/>
        <v>2.9636282864998129E-2</v>
      </c>
      <c r="D221" s="67">
        <f t="shared" si="79"/>
        <v>2.6917940804430745E-3</v>
      </c>
      <c r="E221" s="67">
        <f t="shared" si="79"/>
        <v>4.741274437674764E-2</v>
      </c>
      <c r="F221" s="67">
        <f t="shared" si="80"/>
        <v>4.6045855295467016E-2</v>
      </c>
      <c r="G221" s="67">
        <f t="shared" si="80"/>
        <v>4.6045855295467022E-2</v>
      </c>
      <c r="H221" s="128">
        <f t="shared" si="80"/>
        <v>1.5536987383073397</v>
      </c>
      <c r="I221" s="126">
        <f t="shared" si="81"/>
        <v>3.2614428434646903E-2</v>
      </c>
      <c r="J221" s="67">
        <f t="shared" si="81"/>
        <v>2.2898110377078826E-2</v>
      </c>
      <c r="K221" s="67">
        <f t="shared" si="81"/>
        <v>4.877793547467757E-2</v>
      </c>
      <c r="L221" s="124">
        <f t="shared" si="82"/>
        <v>2.4619914491234986E-2</v>
      </c>
      <c r="M221" s="124">
        <f t="shared" si="83"/>
        <v>2.461991449123499E-2</v>
      </c>
      <c r="N221" s="124">
        <f t="shared" si="84"/>
        <v>0.75487799948935497</v>
      </c>
    </row>
    <row r="222" spans="2:14" x14ac:dyDescent="0.25">
      <c r="B222" s="54" t="s">
        <v>47</v>
      </c>
      <c r="C222" s="117">
        <f t="shared" si="79"/>
        <v>0.11842899377658397</v>
      </c>
      <c r="D222" s="117">
        <f t="shared" si="79"/>
        <v>6.052796918135038E-2</v>
      </c>
      <c r="E222" s="117">
        <f t="shared" si="79"/>
        <v>0.18548407507536241</v>
      </c>
      <c r="F222" s="117">
        <f t="shared" si="80"/>
        <v>0.1196868561284027</v>
      </c>
      <c r="G222" s="117">
        <f t="shared" si="80"/>
        <v>0.11968685612840271</v>
      </c>
      <c r="H222" s="129">
        <f t="shared" si="80"/>
        <v>1.0106212365038894</v>
      </c>
      <c r="I222" s="127">
        <f t="shared" si="81"/>
        <v>0.11947297731110446</v>
      </c>
      <c r="J222" s="117">
        <f t="shared" si="81"/>
        <v>8.9620048155475918E-2</v>
      </c>
      <c r="K222" s="117">
        <f t="shared" si="81"/>
        <v>0.14850388345516141</v>
      </c>
      <c r="L222" s="125">
        <f t="shared" si="82"/>
        <v>6.0106298666639239E-2</v>
      </c>
      <c r="M222" s="125">
        <f t="shared" si="83"/>
        <v>6.0106298666639246E-2</v>
      </c>
      <c r="N222" s="125">
        <f t="shared" si="84"/>
        <v>0.50309534439845793</v>
      </c>
    </row>
    <row r="223" spans="2:14" x14ac:dyDescent="0.25">
      <c r="B223" s="51" t="s">
        <v>50</v>
      </c>
      <c r="C223" s="67">
        <f t="shared" si="79"/>
        <v>0.2217377140616133</v>
      </c>
      <c r="D223" s="67">
        <f t="shared" si="79"/>
        <v>0.13615990838986267</v>
      </c>
      <c r="E223" s="67">
        <f t="shared" si="79"/>
        <v>0.35952175836181433</v>
      </c>
      <c r="F223" s="67">
        <f t="shared" si="80"/>
        <v>0.20932716843607874</v>
      </c>
      <c r="G223" s="67">
        <f t="shared" si="80"/>
        <v>0.20932716843607874</v>
      </c>
      <c r="H223" s="128">
        <f t="shared" si="80"/>
        <v>0.94403051516042014</v>
      </c>
      <c r="I223" s="126">
        <f t="shared" si="81"/>
        <v>0.18621023798866043</v>
      </c>
      <c r="J223" s="67">
        <f t="shared" si="81"/>
        <v>0.14298398263817777</v>
      </c>
      <c r="K223" s="67">
        <f t="shared" si="81"/>
        <v>0.20665651769448698</v>
      </c>
      <c r="L223" s="124">
        <f t="shared" si="82"/>
        <v>6.3722369483396116E-2</v>
      </c>
      <c r="M223" s="124">
        <f t="shared" si="83"/>
        <v>6.3722369483396102E-2</v>
      </c>
      <c r="N223" s="124">
        <f t="shared" si="84"/>
        <v>0.34220658419048139</v>
      </c>
    </row>
    <row r="224" spans="2:14" x14ac:dyDescent="0.25">
      <c r="B224" s="54" t="s">
        <v>56</v>
      </c>
      <c r="C224" s="117">
        <f t="shared" si="79"/>
        <v>2.4665857527999099E-2</v>
      </c>
      <c r="D224" s="117">
        <f t="shared" si="79"/>
        <v>1.3678717373608975E-2</v>
      </c>
      <c r="E224" s="117">
        <f t="shared" si="79"/>
        <v>3.5435306556547176E-2</v>
      </c>
      <c r="F224" s="117">
        <f t="shared" si="80"/>
        <v>1.9736650710181096E-2</v>
      </c>
      <c r="G224" s="117">
        <f t="shared" si="80"/>
        <v>1.9736650710181096E-2</v>
      </c>
      <c r="H224" s="129">
        <f t="shared" si="80"/>
        <v>0.80016073585835468</v>
      </c>
      <c r="I224" s="127">
        <f t="shared" si="81"/>
        <v>2.397650738204881E-2</v>
      </c>
      <c r="J224" s="117">
        <f t="shared" si="81"/>
        <v>7.4692748602863878E-3</v>
      </c>
      <c r="K224" s="117">
        <f t="shared" si="81"/>
        <v>4.0480184319202729E-2</v>
      </c>
      <c r="L224" s="125">
        <f t="shared" si="82"/>
        <v>3.6321813594959916E-2</v>
      </c>
      <c r="M224" s="125">
        <f t="shared" si="83"/>
        <v>3.6321813594959916E-2</v>
      </c>
      <c r="N224" s="125">
        <f t="shared" si="84"/>
        <v>1.5148917653516969</v>
      </c>
    </row>
    <row r="225" spans="2:14" x14ac:dyDescent="0.25">
      <c r="B225" s="51" t="s">
        <v>57</v>
      </c>
      <c r="C225" s="67">
        <f t="shared" si="79"/>
        <v>6.2267578477663413E-2</v>
      </c>
      <c r="D225" s="67">
        <f t="shared" si="79"/>
        <v>3.1292412427580213E-2</v>
      </c>
      <c r="E225" s="67">
        <f t="shared" si="79"/>
        <v>9.2458837304430025E-2</v>
      </c>
      <c r="F225" s="67">
        <f t="shared" si="80"/>
        <v>5.8363406126171809E-2</v>
      </c>
      <c r="G225" s="67">
        <f t="shared" si="80"/>
        <v>5.8363406126171816E-2</v>
      </c>
      <c r="H225" s="128">
        <f t="shared" si="80"/>
        <v>0.93730007739273014</v>
      </c>
      <c r="I225" s="126">
        <f t="shared" si="81"/>
        <v>8.651240306957779E-2</v>
      </c>
      <c r="J225" s="67">
        <f t="shared" si="81"/>
        <v>4.5928710490846729E-2</v>
      </c>
      <c r="K225" s="67">
        <f t="shared" si="81"/>
        <v>0.16257309924043348</v>
      </c>
      <c r="L225" s="124">
        <f t="shared" si="82"/>
        <v>0.11462035793616551</v>
      </c>
      <c r="M225" s="124">
        <f t="shared" si="83"/>
        <v>0.11462035793616551</v>
      </c>
      <c r="N225" s="124">
        <f t="shared" si="84"/>
        <v>1.3249008681909094</v>
      </c>
    </row>
    <row r="226" spans="2:14" x14ac:dyDescent="0.25">
      <c r="B226" s="54" t="s">
        <v>60</v>
      </c>
      <c r="C226" s="117">
        <f t="shared" si="79"/>
        <v>4.0273000640664955E-2</v>
      </c>
      <c r="D226" s="117">
        <f t="shared" si="79"/>
        <v>1.8168645184332862E-2</v>
      </c>
      <c r="E226" s="117">
        <f t="shared" si="79"/>
        <v>5.1922409432352802E-2</v>
      </c>
      <c r="F226" s="117">
        <f t="shared" si="80"/>
        <v>3.3025271980295874E-2</v>
      </c>
      <c r="G226" s="117">
        <f t="shared" si="80"/>
        <v>3.3025271980295881E-2</v>
      </c>
      <c r="H226" s="129">
        <f t="shared" si="80"/>
        <v>0.82003504717622633</v>
      </c>
      <c r="I226" s="127">
        <f t="shared" si="81"/>
        <v>2.5569571056949479E-2</v>
      </c>
      <c r="J226" s="117">
        <f t="shared" si="81"/>
        <v>3.8438995996468712E-3</v>
      </c>
      <c r="K226" s="117">
        <f t="shared" si="81"/>
        <v>4.2015958974604625E-2</v>
      </c>
      <c r="L226" s="125">
        <f t="shared" si="82"/>
        <v>3.4759568209854097E-2</v>
      </c>
      <c r="M226" s="125">
        <f t="shared" si="83"/>
        <v>3.4759568209854097E-2</v>
      </c>
      <c r="N226" s="125">
        <f t="shared" si="84"/>
        <v>1.3594114712537149</v>
      </c>
    </row>
    <row r="227" spans="2:14" x14ac:dyDescent="0.25">
      <c r="B227" s="51" t="s">
        <v>67</v>
      </c>
      <c r="C227" s="67">
        <f t="shared" si="79"/>
        <v>3.1616666194973718E-3</v>
      </c>
      <c r="D227" s="67">
        <f t="shared" si="79"/>
        <v>0</v>
      </c>
      <c r="E227" s="67">
        <f t="shared" si="79"/>
        <v>1.0601132244916019E-2</v>
      </c>
      <c r="F227" s="67">
        <f t="shared" si="80"/>
        <v>1.1011697441465218E-2</v>
      </c>
      <c r="G227" s="67">
        <f t="shared" si="80"/>
        <v>1.1011697441465218E-2</v>
      </c>
      <c r="H227" s="128">
        <f t="shared" si="80"/>
        <v>3.4828774715076727</v>
      </c>
      <c r="I227" s="126">
        <f t="shared" si="81"/>
        <v>2.5016145754873022E-2</v>
      </c>
      <c r="J227" s="67">
        <f t="shared" si="81"/>
        <v>0</v>
      </c>
      <c r="K227" s="67">
        <f t="shared" si="81"/>
        <v>5.2883464426231777E-2</v>
      </c>
      <c r="L227" s="124">
        <f t="shared" si="82"/>
        <v>4.7582880885582803E-2</v>
      </c>
      <c r="M227" s="124">
        <f t="shared" si="83"/>
        <v>4.7582880885582803E-2</v>
      </c>
      <c r="N227" s="124">
        <f t="shared" si="84"/>
        <v>1.9020868103278417</v>
      </c>
    </row>
    <row r="228" spans="2:14" x14ac:dyDescent="0.25">
      <c r="B228" s="54" t="s">
        <v>69</v>
      </c>
      <c r="C228" s="117">
        <f t="shared" si="79"/>
        <v>1.1224489806373583E-2</v>
      </c>
      <c r="D228" s="117">
        <f t="shared" si="79"/>
        <v>8.1503737845973817E-4</v>
      </c>
      <c r="E228" s="117">
        <f t="shared" si="79"/>
        <v>3.1529101038163129E-2</v>
      </c>
      <c r="F228" s="117">
        <f t="shared" si="80"/>
        <v>3.0141344072889993E-2</v>
      </c>
      <c r="G228" s="117">
        <f t="shared" si="80"/>
        <v>3.0141344072889993E-2</v>
      </c>
      <c r="H228" s="129">
        <f t="shared" si="80"/>
        <v>2.6853197421743733</v>
      </c>
      <c r="I228" s="127">
        <f t="shared" si="81"/>
        <v>1.465411019243907E-2</v>
      </c>
      <c r="J228" s="117">
        <f t="shared" si="81"/>
        <v>4.3330867123552065E-4</v>
      </c>
      <c r="K228" s="117">
        <f t="shared" si="81"/>
        <v>4.0317391580352829E-2</v>
      </c>
      <c r="L228" s="125">
        <f t="shared" si="82"/>
        <v>3.8767645195321727E-2</v>
      </c>
      <c r="M228" s="125">
        <f t="shared" si="83"/>
        <v>3.8767645195321727E-2</v>
      </c>
      <c r="N228" s="125">
        <f t="shared" si="84"/>
        <v>2.6455134215739875</v>
      </c>
    </row>
    <row r="229" spans="2:14" x14ac:dyDescent="0.25">
      <c r="B229" s="57" t="s">
        <v>74</v>
      </c>
      <c r="C229" s="67">
        <f t="shared" si="79"/>
        <v>5.0583725156926655E-2</v>
      </c>
      <c r="D229" s="67">
        <f t="shared" si="79"/>
        <v>4.0135954492021141E-2</v>
      </c>
      <c r="E229" s="67">
        <f t="shared" si="79"/>
        <v>6.1044261766321259E-2</v>
      </c>
      <c r="F229" s="67">
        <f t="shared" si="80"/>
        <v>1.9577559349376224E-2</v>
      </c>
      <c r="G229" s="67">
        <f t="shared" si="80"/>
        <v>1.9577559349376224E-2</v>
      </c>
      <c r="H229" s="128">
        <f t="shared" si="80"/>
        <v>0.38703277167983308</v>
      </c>
      <c r="I229" s="126">
        <f t="shared" si="81"/>
        <v>5.3915958569475939E-2</v>
      </c>
      <c r="J229" s="67">
        <f t="shared" si="81"/>
        <v>3.838311480725036E-2</v>
      </c>
      <c r="K229" s="67">
        <f t="shared" si="81"/>
        <v>6.7017144610458712E-2</v>
      </c>
      <c r="L229" s="124">
        <f t="shared" si="82"/>
        <v>2.8563733084521731E-2</v>
      </c>
      <c r="M229" s="124">
        <f t="shared" si="83"/>
        <v>2.8563733084521731E-2</v>
      </c>
      <c r="N229" s="124">
        <f t="shared" si="84"/>
        <v>0.52978253271180542</v>
      </c>
    </row>
  </sheetData>
  <mergeCells count="114">
    <mergeCell ref="A192:A196"/>
    <mergeCell ref="A136:A137"/>
    <mergeCell ref="I55:J55"/>
    <mergeCell ref="K55:L55"/>
    <mergeCell ref="D73:D74"/>
    <mergeCell ref="E73:I73"/>
    <mergeCell ref="C89:C90"/>
    <mergeCell ref="I89:M89"/>
    <mergeCell ref="D89:H89"/>
    <mergeCell ref="A19:A22"/>
    <mergeCell ref="A24:A25"/>
    <mergeCell ref="A26:A30"/>
    <mergeCell ref="A32:A33"/>
    <mergeCell ref="A34:A39"/>
    <mergeCell ref="A41:A50"/>
    <mergeCell ref="A51:B51"/>
    <mergeCell ref="A52:B52"/>
    <mergeCell ref="M55:N55"/>
    <mergeCell ref="S3:T3"/>
    <mergeCell ref="S2:T2"/>
    <mergeCell ref="U3:V3"/>
    <mergeCell ref="U2:V2"/>
    <mergeCell ref="G3:H3"/>
    <mergeCell ref="V4:V5"/>
    <mergeCell ref="W4:W5"/>
    <mergeCell ref="X4:X5"/>
    <mergeCell ref="A6:A10"/>
    <mergeCell ref="W3:X3"/>
    <mergeCell ref="W2:X2"/>
    <mergeCell ref="A16:A18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O55:P55"/>
    <mergeCell ref="Q55:R55"/>
    <mergeCell ref="S55:T55"/>
    <mergeCell ref="U55:V55"/>
    <mergeCell ref="W55:X55"/>
    <mergeCell ref="U1:V1"/>
    <mergeCell ref="W1:X1"/>
    <mergeCell ref="A1:A3"/>
    <mergeCell ref="C1:D1"/>
    <mergeCell ref="E1:F1"/>
    <mergeCell ref="G1:H1"/>
    <mergeCell ref="I1:J1"/>
    <mergeCell ref="K1:L1"/>
    <mergeCell ref="C2:D2"/>
    <mergeCell ref="E2:F2"/>
    <mergeCell ref="G2:H2"/>
    <mergeCell ref="I2:J2"/>
    <mergeCell ref="K2:L2"/>
    <mergeCell ref="M2:N2"/>
    <mergeCell ref="O2:P2"/>
    <mergeCell ref="Q2:R2"/>
    <mergeCell ref="C3:D3"/>
    <mergeCell ref="E3:F3"/>
    <mergeCell ref="A11:A15"/>
    <mergeCell ref="A208:B208"/>
    <mergeCell ref="A126:A130"/>
    <mergeCell ref="C105:G105"/>
    <mergeCell ref="C73:C74"/>
    <mergeCell ref="C55:D55"/>
    <mergeCell ref="E55:F55"/>
    <mergeCell ref="G55:H55"/>
    <mergeCell ref="H105:L105"/>
    <mergeCell ref="A183:A184"/>
    <mergeCell ref="D192:D197"/>
    <mergeCell ref="E192:E205"/>
    <mergeCell ref="A198:A202"/>
    <mergeCell ref="D198:D208"/>
    <mergeCell ref="A203:A205"/>
    <mergeCell ref="A206:A207"/>
    <mergeCell ref="E206:E208"/>
    <mergeCell ref="A138:A141"/>
    <mergeCell ref="A176:A177"/>
    <mergeCell ref="A178:A180"/>
    <mergeCell ref="A145:A149"/>
    <mergeCell ref="A169:A173"/>
    <mergeCell ref="A131:A133"/>
    <mergeCell ref="A134:A135"/>
    <mergeCell ref="A174:A175"/>
    <mergeCell ref="C215:H215"/>
    <mergeCell ref="I215:N215"/>
    <mergeCell ref="B215:B216"/>
    <mergeCell ref="M1:N1"/>
    <mergeCell ref="O1:P1"/>
    <mergeCell ref="Q1:R1"/>
    <mergeCell ref="S1:T1"/>
    <mergeCell ref="A4:B4"/>
    <mergeCell ref="C4:C5"/>
    <mergeCell ref="D4:D5"/>
    <mergeCell ref="E4:E5"/>
    <mergeCell ref="F4:F5"/>
    <mergeCell ref="G4:G5"/>
    <mergeCell ref="H4:H5"/>
    <mergeCell ref="I4:I5"/>
    <mergeCell ref="I3:J3"/>
    <mergeCell ref="K3:L3"/>
    <mergeCell ref="M3:N3"/>
    <mergeCell ref="O3:P3"/>
    <mergeCell ref="Q3:R3"/>
    <mergeCell ref="A143:B143"/>
    <mergeCell ref="A155:B155"/>
    <mergeCell ref="A156:B156"/>
    <mergeCell ref="F192:F208"/>
  </mergeCells>
  <conditionalFormatting sqref="A11:B18">
    <cfRule type="dataBar" priority="9">
      <dataBar>
        <cfvo type="min"/>
        <cfvo type="max"/>
        <color rgb="FF63C384"/>
      </dataBar>
    </cfRule>
  </conditionalFormatting>
  <conditionalFormatting sqref="A19:B19 A21:B21">
    <cfRule type="dataBar" priority="8">
      <dataBar>
        <cfvo type="min"/>
        <cfvo type="max"/>
        <color rgb="FF63C384"/>
      </dataBar>
    </cfRule>
  </conditionalFormatting>
  <conditionalFormatting sqref="A22:B22">
    <cfRule type="dataBar" priority="7">
      <dataBar>
        <cfvo type="min"/>
        <cfvo type="max"/>
        <color rgb="FF63C384"/>
      </dataBar>
    </cfRule>
  </conditionalFormatting>
  <conditionalFormatting sqref="A26:B27">
    <cfRule type="dataBar" priority="6">
      <dataBar>
        <cfvo type="min"/>
        <cfvo type="max"/>
        <color rgb="FF63C384"/>
      </dataBar>
    </cfRule>
  </conditionalFormatting>
  <conditionalFormatting sqref="A31:B31">
    <cfRule type="dataBar" priority="5">
      <dataBar>
        <cfvo type="min"/>
        <cfvo type="max"/>
        <color rgb="FF63C384"/>
      </dataBar>
    </cfRule>
  </conditionalFormatting>
  <conditionalFormatting sqref="A33:B36">
    <cfRule type="dataBar" priority="4">
      <dataBar>
        <cfvo type="min"/>
        <cfvo type="max"/>
        <color rgb="FF63C384"/>
      </dataBar>
    </cfRule>
  </conditionalFormatting>
  <conditionalFormatting sqref="A40:B44">
    <cfRule type="dataBar" priority="3">
      <dataBar>
        <cfvo type="min"/>
        <cfvo type="max"/>
        <color rgb="FF63C384"/>
      </dataBar>
    </cfRule>
  </conditionalFormatting>
  <conditionalFormatting sqref="B145:B148">
    <cfRule type="dataBar" priority="2">
      <dataBar>
        <cfvo type="min"/>
        <cfvo type="max"/>
        <color rgb="FF63C384"/>
      </dataBar>
    </cfRule>
  </conditionalFormatting>
  <conditionalFormatting sqref="B175">
    <cfRule type="dataBar" priority="1">
      <dataBar>
        <cfvo type="min"/>
        <cfvo type="max"/>
        <color rgb="FF63C384"/>
      </dataBar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2AD7997DAA645B7B4940B2C274693" ma:contentTypeVersion="17" ma:contentTypeDescription="Crée un document." ma:contentTypeScope="" ma:versionID="494e1a7897d5c7b637785165f340f945">
  <xsd:schema xmlns:xsd="http://www.w3.org/2001/XMLSchema" xmlns:xs="http://www.w3.org/2001/XMLSchema" xmlns:p="http://schemas.microsoft.com/office/2006/metadata/properties" xmlns:ns2="c00f261c-1ba7-4a71-a066-d911447276f6" xmlns:ns3="ecb310b6-640f-4523-af8c-89dd838d8bb4" targetNamespace="http://schemas.microsoft.com/office/2006/metadata/properties" ma:root="true" ma:fieldsID="6486fc2124261459eebf7f9444b42215" ns2:_="" ns3:_="">
    <xsd:import namespace="c00f261c-1ba7-4a71-a066-d911447276f6"/>
    <xsd:import namespace="ecb310b6-640f-4523-af8c-89dd838d8b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f261c-1ba7-4a71-a066-d91144727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731026-a5bc-4d28-b754-af1dfa225c50}" ma:internalName="TaxCatchAll" ma:showField="CatchAllData" ma:web="c00f261c-1ba7-4a71-a066-d91144727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310b6-640f-4523-af8c-89dd838d8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83ecb6b-f441-4b40-9f9b-e14c9d740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310b6-640f-4523-af8c-89dd838d8bb4">
      <Terms xmlns="http://schemas.microsoft.com/office/infopath/2007/PartnerControls"/>
    </lcf76f155ced4ddcb4097134ff3c332f>
    <TaxCatchAll xmlns="c00f261c-1ba7-4a71-a066-d911447276f6" xsi:nil="true"/>
    <_Flow_SignoffStatus xmlns="ecb310b6-640f-4523-af8c-89dd838d8bb4" xsi:nil="true"/>
  </documentManagement>
</p:properties>
</file>

<file path=customXml/itemProps1.xml><?xml version="1.0" encoding="utf-8"?>
<ds:datastoreItem xmlns:ds="http://schemas.openxmlformats.org/officeDocument/2006/customXml" ds:itemID="{07659069-172F-4D8C-BA70-B7804318173A}"/>
</file>

<file path=customXml/itemProps2.xml><?xml version="1.0" encoding="utf-8"?>
<ds:datastoreItem xmlns:ds="http://schemas.openxmlformats.org/officeDocument/2006/customXml" ds:itemID="{749C075C-21ED-429F-9133-B6F39BA01A51}"/>
</file>

<file path=customXml/itemProps3.xml><?xml version="1.0" encoding="utf-8"?>
<ds:datastoreItem xmlns:ds="http://schemas.openxmlformats.org/officeDocument/2006/customXml" ds:itemID="{83A2B221-8B34-47C5-907D-AACF69E66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9</vt:i4>
      </vt:variant>
    </vt:vector>
  </HeadingPairs>
  <TitlesOfParts>
    <vt:vector size="28" baseType="lpstr">
      <vt:lpstr>ISS A15 PB BAN</vt:lpstr>
      <vt:lpstr>ISS A15 PB PAR</vt:lpstr>
      <vt:lpstr>IVR A15 PB BAN</vt:lpstr>
      <vt:lpstr>IVR A15 PB PAR</vt:lpstr>
      <vt:lpstr>ROM A15 PB BAN</vt:lpstr>
      <vt:lpstr>ROM A15 PB PAR</vt:lpstr>
      <vt:lpstr>STO A15 PB BAN</vt:lpstr>
      <vt:lpstr>STO A15 PB PAR </vt:lpstr>
      <vt:lpstr>Synthèse PB</vt:lpstr>
      <vt:lpstr>ISS A15 PC BAN</vt:lpstr>
      <vt:lpstr>ISS A15 PC PAR</vt:lpstr>
      <vt:lpstr>IVR A15 PC BAN</vt:lpstr>
      <vt:lpstr>IVR A15 PC PAR</vt:lpstr>
      <vt:lpstr>ROM A15 PC BAN </vt:lpstr>
      <vt:lpstr>ROM A15 PC PAR</vt:lpstr>
      <vt:lpstr>STO A15 PC BAN</vt:lpstr>
      <vt:lpstr>STO A15 PC PAR</vt:lpstr>
      <vt:lpstr>Synthèse PC</vt:lpstr>
      <vt:lpstr>E15</vt:lpstr>
      <vt:lpstr>'ISS A15 PB BAN'!Zone_d_impression</vt:lpstr>
      <vt:lpstr>'ISS A15 PB PAR'!Zone_d_impression</vt:lpstr>
      <vt:lpstr>'IVR A15 PB BAN'!Zone_d_impression</vt:lpstr>
      <vt:lpstr>'IVR A15 PB PAR'!Zone_d_impression</vt:lpstr>
      <vt:lpstr>'ROM A15 PB BAN'!Zone_d_impression</vt:lpstr>
      <vt:lpstr>'ROM A15 PB PAR'!Zone_d_impression</vt:lpstr>
      <vt:lpstr>'STO A15 PB BAN'!Zone_d_impression</vt:lpstr>
      <vt:lpstr>'STO A15 PB PAR '!Zone_d_impression</vt:lpstr>
      <vt:lpstr>'Synthèse PB'!Zone_d_impression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BOUX Catherine</cp:lastModifiedBy>
  <cp:lastPrinted>2014-10-08T09:13:47Z</cp:lastPrinted>
  <dcterms:created xsi:type="dcterms:W3CDTF">2012-09-10T09:35:36Z</dcterms:created>
  <dcterms:modified xsi:type="dcterms:W3CDTF">2017-11-03T10:51:23Z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0x0101000BE2AD7997DAA645B7B4940B2C274693</vt:lpwstr>
  </property>
</Properties>
</file>